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5ZxTHtVyTqUuMUqOKq9qgg/45zVa/DVbJUMJldub+3kVcOGuCPF58/csLDEuxuKdWmmXt9aINi4+r5oqkBcuOA==" workbookSaltValue="O2v7tFBhDGjR0mrTcozK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AC19" i="8"/>
  <c r="BH19" i="13"/>
  <c r="R8" i="9"/>
  <c r="X12" i="21" s="1"/>
  <c r="R19" i="8"/>
  <c r="EP19" i="8"/>
  <c r="EP19" i="19"/>
  <c r="T17" i="11"/>
  <c r="AP16" i="20"/>
  <c r="BH9" i="16"/>
  <c r="V15" i="11"/>
  <c r="BJ17" i="11"/>
  <c r="BH15" i="11"/>
  <c r="BH15" i="16"/>
  <c r="Q17" i="20"/>
  <c r="Q18" i="20" s="1"/>
  <c r="V11" i="16"/>
  <c r="BF17" i="11"/>
  <c r="BF16" i="11"/>
  <c r="S17" i="16"/>
  <c r="BL12" i="11"/>
  <c r="AT17" i="20"/>
  <c r="V17" i="16"/>
  <c r="M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A18" i="13"/>
  <c r="AH20" i="20"/>
  <c r="AL20" i="20"/>
  <c r="AB20" i="20"/>
  <c r="AO20" i="20"/>
  <c r="AN20" i="20"/>
  <c r="Y20" i="20"/>
  <c r="U10" i="11"/>
  <c r="AJ19" i="8" l="1"/>
  <c r="BD16" i="8"/>
  <c r="H16" i="7" s="1"/>
  <c r="T19" i="8"/>
  <c r="BD12" i="8"/>
  <c r="AC10" i="11"/>
  <c r="H13" i="12"/>
  <c r="E12" i="6"/>
  <c r="AL12" i="11"/>
  <c r="AO12" i="11"/>
  <c r="B10" i="6"/>
  <c r="H12" i="2"/>
  <c r="H12" i="7"/>
  <c r="K15" i="7"/>
  <c r="L9" i="14"/>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AY13" i="8"/>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3" i="2"/>
  <c r="F13" i="2"/>
  <c r="J18" i="2"/>
  <c r="BG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U20" i="21"/>
  <c r="O12" i="1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<sst xmlns="http://schemas.openxmlformats.org/spreadsheetml/2006/main" count="2102" uniqueCount="917">
  <si>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</si>
  <si>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</si>
  <si>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</si>
  <si>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</si>
  <si>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</si>
  <si>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</si>
  <si>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</si>
  <si>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</si>
  <si>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</si>
  <si>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</si>
  <si>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</si>
  <si>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</si>
  <si>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</si>
  <si>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</si>
  <si>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</si>
  <si>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</si>
  <si>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</si>
  <si>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</si>
  <si>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</si>
  <si>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</si>
  <si>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</si>
  <si>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</si>
  <si>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</si>
  <si>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</si>
  <si>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</si>
  <si>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</si>
  <si>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</si>
  <si>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</si>
  <si>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</si>
  <si>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</si>
  <si>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</si>
  <si>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</si>
  <si>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</si>
  <si>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</si>
  <si>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</si>
  <si>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</si>
  <si>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</si>
  <si>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</si>
  <si>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</si>
  <si>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</si>
  <si>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</si>
  <si>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</si>
  <si>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</si>
  <si>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</si>
  <si>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</si>
  <si>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</si>
  <si>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</si>
  <si>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</si>
  <si>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</si>
  <si>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</si>
  <si>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</si>
  <si>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</si>
  <si>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</si>
  <si>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</si>
  <si>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</si>
  <si>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</si>
  <si>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</si>
  <si>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</si>
  <si>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</si>
  <si>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</si>
  <si>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</si>
  <si>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</si>
  <si>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</si>
  <si>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</si>
  <si>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</si>
  <si>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</si>
  <si>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</si>
  <si>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</si>
  <si>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</si>
  <si>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</si>
  <si>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</si>
  <si>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</si>
  <si>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</si>
  <si>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</si>
  <si>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</si>
  <si>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</si>
  <si>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</si>
  <si>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</si>
  <si>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</si>
  <si>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</si>
  <si>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</si>
  <si>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</si>
  <si>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</si>
  <si>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</si>
  <si>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</si>
  <si>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</si>
  <si>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</si>
  <si>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</si>
  <si>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</si>
  <si>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</si>
  <si>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</si>
  <si>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</si>
  <si>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</si>
  <si>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</si>
  <si>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</si>
  <si>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</si>
  <si>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</si>
  <si>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</si>
  <si>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</si>
  <si>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</si>
  <si>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</si>
  <si>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</si>
  <si>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</si>
  <si>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</si>
  <si>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</si>
  <si>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</si>
  <si>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</si>
  <si>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</si>
  <si>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</si>
  <si>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</si>
  <si>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</si>
  <si>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</si>
  <si>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</si>
  <si>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</si>
  <si>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</si>
  <si>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</si>
  <si>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</si>
  <si>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</si>
  <si>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</si>
  <si>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</si>
  <si>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</si>
  <si>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</si>
  <si>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</si>
  <si>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</si>
  <si>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</si>
  <si>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</si>
  <si>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</si>
  <si>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</si>
  <si>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</si>
  <si>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</si>
  <si>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</si>
  <si>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</si>
  <si>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</si>
  <si>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</si>
  <si>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</si>
  <si>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</si>
  <si>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</si>
  <si>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</si>
  <si>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</si>
  <si>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</si>
  <si>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</si>
  <si>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</si>
  <si>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</si>
  <si>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</si>
  <si>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</si>
  <si>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</si>
  <si>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</si>
  <si>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</si>
  <si>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</si>
  <si>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</si>
  <si>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</si>
  <si>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</si>
  <si>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</si>
  <si>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</si>
  <si>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</si>
  <si>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</si>
  <si>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</si>
  <si>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</si>
  <si>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</si>
  <si>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</si>
  <si>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</si>
  <si>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</si>
  <si>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</si>
  <si>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</si>
  <si>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</si>
  <si>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</si>
  <si>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</si>
  <si>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</si>
  <si>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</si>
  <si>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</si>
  <si>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</si>
  <si>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</si>
  <si>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</si>
  <si>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</si>
  <si>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</si>
  <si>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</si>
  <si>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</si>
  <si>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</si>
  <si>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</si>
  <si>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</si>
  <si>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</si>
  <si>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</si>
  <si>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</si>
  <si>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</si>
  <si>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</si>
  <si>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</si>
  <si>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</si>
  <si>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</si>
  <si>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</si>
  <si>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</si>
  <si>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</si>
  <si>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</si>
  <si>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</si>
  <si>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</si>
  <si>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</si>
  <si>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</si>
  <si>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</si>
  <si>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</si>
  <si>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</si>
  <si>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</si>
  <si>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</si>
  <si>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</si>
  <si>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</si>
  <si>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</si>
  <si>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</si>
  <si>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</si>
  <si>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</si>
  <si>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</si>
  <si>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</si>
  <si>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</si>
  <si>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</si>
  <si>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</si>
  <si>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</si>
  <si>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</si>
  <si>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</si>
  <si>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</si>
  <si>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</si>
  <si>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</si>
  <si>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</si>
  <si>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</si>
  <si>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</si>
  <si>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</si>
  <si>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</si>
  <si>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</si>
  <si>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</si>
  <si>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</si>
  <si>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</si>
  <si>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</si>
  <si>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</si>
  <si>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</si>
  <si>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</si>
  <si>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</si>
  <si>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</si>
  <si>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</si>
  <si>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</si>
  <si>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</si>
  <si>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</si>
  <si>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</si>
  <si>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</si>
  <si>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</si>
  <si>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</si>
  <si>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</si>
  <si>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</si>
  <si>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</si>
  <si>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</si>
  <si>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</si>
  <si>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</si>
  <si>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</si>
  <si>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</si>
  <si>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</si>
  <si>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</si>
  <si>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</si>
  <si>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</si>
  <si>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</si>
  <si>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</si>
  <si>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</si>
  <si>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</si>
  <si>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</si>
  <si>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</si>
  <si>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</si>
  <si>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</si>
  <si>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</si>
  <si>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</si>
  <si>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</si>
  <si>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</si>
  <si>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</si>
  <si>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</si>
  <si>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</si>
  <si>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</si>
  <si>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</si>
  <si>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</si>
  <si>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</si>
  <si>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</si>
  <si>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</si>
  <si>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</si>
  <si>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</si>
  <si>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</si>
  <si>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</si>
  <si>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</si>
  <si>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</si>
  <si>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</si>
  <si>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</si>
  <si>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</si>
  <si>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</si>
  <si>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</si>
  <si>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</si>
  <si>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</si>
  <si>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</si>
  <si>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</si>
  <si>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</si>
  <si>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</si>
  <si>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</si>
  <si>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</si>
  <si>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</si>
  <si>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</si>
  <si>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</si>
  <si>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</si>
  <si>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</si>
  <si>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</si>
  <si>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</si>
  <si>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</si>
  <si>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</si>
  <si>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</si>
  <si>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</si>
  <si>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</si>
  <si>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</si>
  <si>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</si>
  <si>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</si>
  <si>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</si>
  <si>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</si>
  <si>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</si>
  <si>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</si>
  <si>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</si>
  <si>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</si>
  <si>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</si>
  <si>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</si>
  <si>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</si>
  <si>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</si>
  <si>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</si>
  <si>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</si>
  <si>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</si>
  <si>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</si>
  <si>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</si>
  <si>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</si>
  <si>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</si>
  <si>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</si>
  <si>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</si>
  <si>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</si>
  <si>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</si>
  <si>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</si>
  <si>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</si>
  <si>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</si>
  <si>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</si>
  <si>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</si>
  <si>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</si>
  <si>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</si>
  <si>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</si>
  <si>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</si>
  <si>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</si>
  <si>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</si>
  <si>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</si>
  <si>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</si>
  <si>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</si>
  <si>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</si>
  <si>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</si>
  <si>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</si>
  <si>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</si>
  <si>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</si>
  <si>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</si>
  <si>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</si>
  <si>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</si>
  <si>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</si>
  <si>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</si>
  <si>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</si>
  <si>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</si>
  <si>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</si>
  <si>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</si>
  <si>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</si>
  <si>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</si>
  <si>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</si>
  <si>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</si>
  <si>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</si>
  <si>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</si>
  <si>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</si>
  <si>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</si>
  <si>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</si>
  <si>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</si>
  <si>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</si>
  <si>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</si>
  <si>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</si>
  <si>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</si>
  <si>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</si>
  <si>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</si>
  <si>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</si>
  <si>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</si>
  <si>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</si>
  <si>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</si>
  <si>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</si>
  <si>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</si>
  <si>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</si>
  <si>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</si>
  <si>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</si>
  <si>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</si>
  <si>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</si>
  <si>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</si>
  <si>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</si>
  <si>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</si>
  <si>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</si>
  <si>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</si>
  <si>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</si>
  <si>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</si>
  <si>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</si>
  <si>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</si>
  <si>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</si>
  <si>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</si>
  <si>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</si>
  <si>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</si>
  <si>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</si>
  <si>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</si>
  <si>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</si>
  <si>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</si>
  <si>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</si>
  <si>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</si>
  <si>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</si>
  <si>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</si>
  <si>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</si>
  <si>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</si>
  <si>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</si>
  <si>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</si>
  <si>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</si>
  <si>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</si>
  <si>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</si>
  <si>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</si>
  <si>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</si>
  <si>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</si>
  <si>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</si>
  <si>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</si>
  <si>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</si>
  <si>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</si>
  <si>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</si>
  <si>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</si>
  <si>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</si>
  <si>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</si>
  <si>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</si>
  <si>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</si>
  <si>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</si>
  <si>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</si>
  <si>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</si>
  <si>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</si>
  <si>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</si>
  <si>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</si>
  <si>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</si>
  <si>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</si>
  <si>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</si>
  <si>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</si>
  <si>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</si>
  <si>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</si>
  <si>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</si>
  <si>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</si>
  <si>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</si>
  <si>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</si>
  <si>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</si>
  <si>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</si>
  <si>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</si>
  <si>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</si>
  <si>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</si>
  <si>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</si>
  <si>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</si>
  <si>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</si>
  <si>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</si>
  <si>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</si>
  <si>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</si>
  <si>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</si>
  <si>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</si>
  <si>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</si>
  <si>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</si>
  <si>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</si>
  <si>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</si>
  <si>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</si>
  <si>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</si>
  <si>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</si>
  <si>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</si>
  <si>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</si>
  <si>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</si>
  <si>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</si>
  <si>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</si>
  <si>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</si>
  <si>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</si>
  <si>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</si>
  <si>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</si>
  <si>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</si>
  <si>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</si>
  <si>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</si>
  <si>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</si>
  <si>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</si>
  <si>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</si>
  <si>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</si>
  <si>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</si>
  <si>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</si>
  <si>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</si>
  <si>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</si>
  <si>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</si>
  <si>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</si>
  <si>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</si>
  <si>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</si>
  <si>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</si>
  <si>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</si>
  <si>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</si>
  <si>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</si>
  <si>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</si>
  <si>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</si>
  <si>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</si>
  <si>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</si>
  <si>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</si>
  <si>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</si>
  <si>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</si>
  <si>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</si>
  <si>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</si>
  <si>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</si>
  <si>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</si>
  <si>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</si>
  <si>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</si>
  <si>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</si>
  <si>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</si>
  <si>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</si>
  <si>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</si>
  <si>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</si>
  <si>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</si>
  <si>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</si>
  <si>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</si>
  <si>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</si>
  <si>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</si>
  <si>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</si>
  <si>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</si>
  <si>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</si>
  <si>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</si>
  <si>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</si>
  <si>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</si>
  <si>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</si>
  <si>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</si>
  <si>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</si>
  <si>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</si>
  <si>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</si>
  <si>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</si>
  <si>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</si>
  <si>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</si>
  <si>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</si>
  <si>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</si>
  <si>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</si>
  <si>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</si>
  <si>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</si>
  <si>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</si>
  <si>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</si>
  <si>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</si>
  <si>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</si>
  <si>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</si>
  <si>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</si>
  <si>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</si>
  <si>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</si>
  <si>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</si>
  <si>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</si>
  <si>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</si>
  <si>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</si>
  <si>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</si>
  <si>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</si>
  <si>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</si>
  <si>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</si>
  <si>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</si>
  <si>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</si>
  <si>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</si>
  <si>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</si>
  <si>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</si>
  <si>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</si>
  <si>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</si>
  <si>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</si>
  <si>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</si>
  <si>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</si>
  <si>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</si>
  <si>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</si>
  <si>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</si>
  <si>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</si>
  <si>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</si>
  <si>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</si>
  <si>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</si>
  <si>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</si>
  <si>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</si>
  <si>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</si>
  <si>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</si>
  <si>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</si>
  <si>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</si>
  <si>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</si>
  <si>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</si>
  <si>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</si>
  <si>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</si>
  <si>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</si>
  <si>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</si>
  <si>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</si>
  <si>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</si>
  <si>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</si>
  <si>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</si>
  <si>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</si>
  <si>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</si>
  <si>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</si>
  <si>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</si>
  <si>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</si>
  <si>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</si>
  <si>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</si>
  <si>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</si>
  <si>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</si>
  <si>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</si>
  <si>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</si>
  <si>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</si>
  <si>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</si>
  <si>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</si>
  <si>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</si>
  <si>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</si>
  <si>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</si>
  <si>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</si>
  <si>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</si>
  <si>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</si>
  <si>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</si>
  <si>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</si>
  <si>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</si>
  <si>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</si>
  <si>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</si>
  <si>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</si>
  <si>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</si>
  <si>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</si>
  <si>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</si>
  <si>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</si>
  <si>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</si>
  <si>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</si>
  <si>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</si>
  <si>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</si>
  <si>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</si>
  <si>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</si>
  <si>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</si>
  <si>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</si>
  <si>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</si>
  <si>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</si>
  <si>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</si>
  <si>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</si>
  <si>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</si>
  <si>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</si>
  <si>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</si>
  <si>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</si>
  <si>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</si>
  <si>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</si>
  <si>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</si>
  <si>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</si>
  <si>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</si>
  <si>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</si>
  <si>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</si>
  <si>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</si>
  <si>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</si>
  <si>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</si>
  <si>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</si>
  <si>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</si>
  <si>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</si>
  <si>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</si>
  <si>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</si>
  <si>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</si>
  <si>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</si>
  <si>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</si>
  <si>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</si>
  <si>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</si>
  <si>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</si>
  <si>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</si>
  <si>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</si>
  <si>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</si>
  <si>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</si>
  <si>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</si>
  <si>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</si>
  <si>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</si>
  <si>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</si>
  <si>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</si>
  <si>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</si>
  <si>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</si>
  <si>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</si>
  <si>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</si>
  <si>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</si>
  <si>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</si>
  <si>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</si>
  <si>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</si>
  <si>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</si>
  <si>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</si>
  <si>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</si>
  <si>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</si>
  <si>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</si>
  <si>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</si>
  <si>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</si>
  <si>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</si>
  <si>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</si>
  <si>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</si>
  <si>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</si>
  <si>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</si>
  <si>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</si>
  <si>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</si>
  <si>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</si>
  <si>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</si>
  <si>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</si>
  <si>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</si>
  <si>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</si>
  <si>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</si>
  <si>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</si>
  <si>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</si>
  <si>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</si>
  <si>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</si>
  <si>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</si>
  <si>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</si>
  <si>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</si>
  <si>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</si>
  <si>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</si>
  <si>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</si>
  <si>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</si>
  <si>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</si>
  <si>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</si>
  <si>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</si>
  <si>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</si>
  <si>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</si>
  <si>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</si>
  <si>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</si>
  <si>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</si>
  <si>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</si>
  <si>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</si>
  <si>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</si>
  <si>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</si>
  <si>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</si>
  <si>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</si>
  <si>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</si>
  <si>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</si>
  <si>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</si>
  <si>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</si>
  <si>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</si>
  <si>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</si>
  <si>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</si>
  <si>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</si>
  <si>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</si>
  <si>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</si>
  <si>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</si>
  <si>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</si>
  <si>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</si>
  <si>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</si>
  <si>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</si>
  <si>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</si>
  <si>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</si>
  <si>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</si>
  <si>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</si>
  <si>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</si>
  <si>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</si>
  <si>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</si>
  <si>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</si>
  <si>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</si>
  <si>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</si>
  <si>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</si>
  <si>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</si>
  <si>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</si>
  <si>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</si>
  <si>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</si>
  <si>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</si>
  <si>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</si>
  <si>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</si>
  <si>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</si>
  <si>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</si>
  <si>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</si>
  <si>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</si>
  <si>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</si>
  <si>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</si>
  <si>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</si>
  <si>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</si>
  <si>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</si>
  <si>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</si>
  <si>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</si>
  <si>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</si>
  <si>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</si>
  <si>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</si>
  <si>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</si>
  <si>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</si>
  <si>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</si>
  <si>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</si>
  <si>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</si>
  <si>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</si>
  <si>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</si>
  <si>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</si>
  <si>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</si>
  <si>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</si>
  <si>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</si>
  <si>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</si>
  <si>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</si>
  <si>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</si>
  <si>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</si>
  <si>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</si>
  <si>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</si>
  <si>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</si>
  <si>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</si>
  <si>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</si>
  <si>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</si>
  <si>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</si>
  <si>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</si>
  <si>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</si>
  <si>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</si>
  <si>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</si>
  <si>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</si>
  <si>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</si>
  <si>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</si>
  <si>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</si>
  <si>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</si>
  <si>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</si>
  <si>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</si>
  <si>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</si>
  <si>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</si>
  <si>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</si>
  <si>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</si>
  <si>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</si>
  <si>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</si>
  <si>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</si>
  <si>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</si>
  <si>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</si>
  <si>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</si>
  <si>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</si>
  <si>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</si>
  <si>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</si>
  <si>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</si>
  <si>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</si>
  <si>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</si>
  <si>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</si>
  <si>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</si>
  <si>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</si>
  <si>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</si>
  <si>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</si>
  <si>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</si>
  <si>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</si>
  <si>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</si>
  <si>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</si>
  <si>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</si>
  <si>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</si>
  <si>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</si>
  <si>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</si>
  <si>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</si>
  <si>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</si>
  <si>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</si>
  <si>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</si>
  <si>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</si>
  <si>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</si>
  <si>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</si>
  <si>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</si>
  <si>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</si>
  <si>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</si>
  <si>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</si>
  <si>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</si>
  <si>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</si>
  <si>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</si>
  <si>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</si>
  <si>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</si>
  <si>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</si>
  <si>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</si>
  <si>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</si>
  <si>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</si>
  <si>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</si>
  <si>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</si>
  <si>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</si>
  <si>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</si>
  <si>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</si>
  <si>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</si>
  <si>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</si>
  <si>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</si>
  <si>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</si>
  <si>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</si>
  <si>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</si>
  <si>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</si>
  <si>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</si>
  <si>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</si>
  <si>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</si>
  <si>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</si>
  <si>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</si>
  <si>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</si>
  <si>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</si>
  <si>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</si>
  <si>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</si>
  <si>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</si>
  <si>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</si>
  <si>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</si>
  <si>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</si>
  <si>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</si>
  <si>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</si>
  <si>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</si>
  <si>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</si>
  <si>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</si>
  <si>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</si>
  <si>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</si>
  <si>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</si>
  <si>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</si>
  <si>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</si>
  <si>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</si>
  <si>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</si>
  <si>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</si>
  <si>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</si>
  <si>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</si>
  <si>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</si>
  <si>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</si>
  <si>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</si>
  <si>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</si>
  <si>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</si>
  <si>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</si>
  <si>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</si>
  <si>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</si>
  <si>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</si>
  <si>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</si>
  <si>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</si>
  <si>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</si>
  <si>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</si>
  <si>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</si>
  <si>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</si>
  <si>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</si>
  <si>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</si>
  <si>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</si>
  <si>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</si>
  <si>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</si>
  <si>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</si>
  <si>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</si>
  <si>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</si>
  <si>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</si>
  <si>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</si>
  <si>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</si>
  <si>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</si>
  <si>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</si>
  <si>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</si>
  <si>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</si>
  <si>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</si>
  <si>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</si>
  <si>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</si>
  <si>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</si>
  <si>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</si>
  <si>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</si>
  <si>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</si>
  <si>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</si>
  <si>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LALIN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</si>
</sst>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eHribu21uhk1jStUCFxObNbe+err3WtPwhuO3I2Y4CvnNRryg56VVRhSUttLIBEu2tkcQ6bdToi2qJtdaqa+g==" saltValue="IU28BgHld1yZCgGn21IL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19.005235602094238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253</v>
      </c>
      <c r="D16" s="225">
        <f>IF(ISNUMBER(IF(D_I="SI",Datos!I16,Datos!I16+Datos!AC16)),IF(D_I="SI",Datos!I16,Datos!I16+Datos!AC16)," - ")</f>
        <v>253</v>
      </c>
      <c r="E16" s="226">
        <f>IF(ISNUMBER(IF(D_I="SI",Datos!J16,Datos!J16+Datos!AD16)),IF(D_I="SI",Datos!J16,Datos!J16+Datos!AD16)," - ")</f>
        <v>151</v>
      </c>
      <c r="F16" s="226">
        <f>IF(ISNUMBER(IF(D_I="SI",Datos!K16,Datos!K16+Datos!AE16)),IF(D_I="SI",Datos!K16,Datos!K16+Datos!AE16)," - ")</f>
        <v>163</v>
      </c>
      <c r="G16" s="1034" t="str">
        <f>IF(Datos!E16&lt;&gt;"",Datos!E16,Datos!D16)</f>
        <v>04</v>
      </c>
      <c r="H16" s="227">
        <f>IF(ISNUMBER(IF(D_I="SI",Datos!L16,Datos!L16+Datos!AF16)),IF(D_I="SI",Datos!L16,Datos!L16+Datos!AF16)," - ")</f>
        <v>241</v>
      </c>
      <c r="I16" s="1044" t="str">
        <f>IF(ISNUMBER(Datos!AS16/Datos!BM16),Datos!AS16/Datos!BM16," - ")</f>
        <v xml:space="preserve"> - </v>
      </c>
      <c r="J16" s="1045">
        <f>IF(ISNUMBER(Datos!BY16/Datos!CN16),Datos!BY16/Datos!CN16," - ")</f>
        <v>0</v>
      </c>
      <c r="K16" s="230">
        <f t="shared" si="3"/>
        <v>-4.7430830039525688E-2</v>
      </c>
      <c r="L16" s="1025">
        <f>IF(ISNUMBER(NºAsuntos!I16/NºAsuntos!G16),(NºAsuntos!I16/NºAsuntos!G16)*11," - ")</f>
        <v>16.263803680981596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19</v>
      </c>
      <c r="F17" s="226">
        <f>IF(ISNUMBER(IF(D_I="SI",Datos!K17,Datos!K17+Datos!AE17)),IF(D_I="SI",Datos!K17,Datos!K17+Datos!AE17)," - ")</f>
        <v>20</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-3.5714285714285712E-2</v>
      </c>
      <c r="L17" s="1025">
        <f>IF(ISNUMBER(NºAsuntos!I17/NºAsuntos!G17),(NºAsuntos!I17/NºAsuntos!G17)*11," - ")</f>
        <v>14.850000000000001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281</v>
      </c>
      <c r="D18" s="1049">
        <f>SUBTOTAL(9,D15:D17)</f>
        <v>281</v>
      </c>
      <c r="E18" s="1050">
        <f>SUBTOTAL(9,E15:E17)</f>
        <v>170</v>
      </c>
      <c r="F18" s="1050">
        <f>SUBTOTAL(9,F15:F17)</f>
        <v>183</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286</v>
      </c>
      <c r="D19" s="1071">
        <f>SUBTOTAL(9,D9:D18)</f>
        <v>286</v>
      </c>
      <c r="E19" s="1072">
        <f>SUBTOTAL(9,E9:E18)</f>
        <v>171</v>
      </c>
      <c r="F19" s="1072">
        <f>SUBTOTAL(9,F9:F18)</f>
        <v>184</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FKTcnkAj6ch2HEQciUOukbAhjusjiMAYa6TvCgq+R9MON7xk5MRU2sQFH4IFmUEm00bjyATlJ3qH1bbMpFJ8Q==" saltValue="dAO0KJO2HzVTvrqI3utmN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hjTtTRvfZkLW597bh5XOXviHaAbWiiqAsoo6SmlnPdrlXPJTp50pV/AqaNXJYzCC2dHkWulc1KOldAUKktXqA==" saltValue="gQRt7qNI2yx8iyhVSvtd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1</v>
      </c>
      <c r="L10" s="181">
        <v>5</v>
      </c>
      <c r="M10" s="181">
        <v>1</v>
      </c>
      <c r="N10" s="181">
        <v>0</v>
      </c>
      <c r="O10" s="181">
        <v>0</v>
      </c>
      <c r="P10" s="181">
        <v>0</v>
      </c>
      <c r="Q10" s="181">
        <v>0</v>
      </c>
      <c r="R10" s="181">
        <v>0</v>
      </c>
      <c r="S10" s="181">
        <v>5</v>
      </c>
      <c r="T10" s="181">
        <v>1</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v>
      </c>
      <c r="AZ10" s="129">
        <f t="shared" si="0"/>
        <v>1</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814</v>
      </c>
      <c r="J12" s="183">
        <v>678</v>
      </c>
      <c r="K12" s="183">
        <v>515</v>
      </c>
      <c r="L12" s="183">
        <v>977</v>
      </c>
      <c r="M12" s="183">
        <v>132</v>
      </c>
      <c r="N12" s="183">
        <v>235</v>
      </c>
      <c r="O12" s="181">
        <v>309</v>
      </c>
      <c r="P12" s="183">
        <v>198</v>
      </c>
      <c r="Q12" s="183">
        <v>92</v>
      </c>
      <c r="R12" s="183">
        <v>1610</v>
      </c>
      <c r="S12" s="183">
        <v>679</v>
      </c>
      <c r="T12" s="183">
        <v>553</v>
      </c>
      <c r="U12" s="183">
        <v>431</v>
      </c>
      <c r="V12" s="183">
        <v>888</v>
      </c>
      <c r="W12" s="183">
        <v>128</v>
      </c>
      <c r="X12" s="189">
        <v>127</v>
      </c>
      <c r="Y12" s="191">
        <v>4</v>
      </c>
      <c r="Z12" s="181">
        <v>67</v>
      </c>
      <c r="AA12" s="181">
        <v>58</v>
      </c>
      <c r="AB12" s="181">
        <v>13</v>
      </c>
      <c r="AC12" s="183">
        <v>0</v>
      </c>
      <c r="AD12" s="183">
        <v>0</v>
      </c>
      <c r="AE12" s="183">
        <v>0</v>
      </c>
      <c r="AF12" s="189">
        <v>0</v>
      </c>
      <c r="AG12" s="202">
        <v>28</v>
      </c>
      <c r="AH12" s="183">
        <v>51</v>
      </c>
      <c r="AI12" s="183">
        <v>59</v>
      </c>
      <c r="AJ12" s="203">
        <v>20</v>
      </c>
      <c r="AK12" s="182">
        <v>0</v>
      </c>
      <c r="AL12" s="183">
        <v>0</v>
      </c>
      <c r="AM12" s="183">
        <v>0</v>
      </c>
      <c r="AN12" s="189">
        <v>0</v>
      </c>
      <c r="AO12" s="259">
        <v>2</v>
      </c>
      <c r="AP12" s="155">
        <v>2</v>
      </c>
      <c r="AQ12" s="155">
        <v>2</v>
      </c>
      <c r="AR12" s="154">
        <v>2</v>
      </c>
      <c r="AS12" s="340" t="s">
        <v>801</v>
      </c>
      <c r="AT12" s="203"/>
      <c r="AU12" s="202"/>
      <c r="AV12" s="203"/>
      <c r="AW12" s="202"/>
      <c r="AX12" s="203"/>
      <c r="AY12" s="126">
        <f t="shared" si="1"/>
        <v>707</v>
      </c>
      <c r="AZ12" s="127">
        <f t="shared" si="1"/>
        <v>604</v>
      </c>
      <c r="BA12" s="127">
        <f t="shared" si="1"/>
        <v>490</v>
      </c>
      <c r="BB12" s="127">
        <f t="shared" si="1"/>
        <v>908</v>
      </c>
      <c r="BC12" s="125">
        <f>IF(ISNUMBER(X12),X12," - ")</f>
        <v>127</v>
      </c>
      <c r="BD12" s="126">
        <f t="shared" si="2"/>
        <v>0.8112582781456954</v>
      </c>
      <c r="BE12" s="127">
        <f t="shared" si="3"/>
        <v>1.8530612244897959</v>
      </c>
      <c r="BF12" s="127">
        <f t="shared" si="4"/>
        <v>0.25918367346938775</v>
      </c>
      <c r="BG12" s="196">
        <f t="shared" si="5"/>
        <v>2.6755102040816325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819</v>
      </c>
      <c r="J13" s="184">
        <f t="shared" si="6"/>
        <v>679</v>
      </c>
      <c r="K13" s="184">
        <f t="shared" si="6"/>
        <v>516</v>
      </c>
      <c r="L13" s="184">
        <f t="shared" si="6"/>
        <v>982</v>
      </c>
      <c r="M13" s="184">
        <f t="shared" si="6"/>
        <v>133</v>
      </c>
      <c r="N13" s="184">
        <f t="shared" si="6"/>
        <v>235</v>
      </c>
      <c r="O13" s="184">
        <f t="shared" si="6"/>
        <v>309</v>
      </c>
      <c r="P13" s="184">
        <f t="shared" si="6"/>
        <v>198</v>
      </c>
      <c r="Q13" s="184">
        <f t="shared" si="6"/>
        <v>92</v>
      </c>
      <c r="R13" s="184">
        <f t="shared" si="6"/>
        <v>1610</v>
      </c>
      <c r="S13" s="184">
        <f t="shared" si="6"/>
        <v>684</v>
      </c>
      <c r="T13" s="184">
        <f t="shared" si="6"/>
        <v>554</v>
      </c>
      <c r="U13" s="184">
        <f t="shared" si="6"/>
        <v>431</v>
      </c>
      <c r="V13" s="184">
        <f t="shared" si="6"/>
        <v>894</v>
      </c>
      <c r="W13" s="184">
        <f t="shared" si="6"/>
        <v>128</v>
      </c>
      <c r="X13" s="184">
        <f t="shared" si="6"/>
        <v>127</v>
      </c>
      <c r="Y13" s="184">
        <f t="shared" si="6"/>
        <v>4</v>
      </c>
      <c r="Z13" s="184">
        <f t="shared" si="6"/>
        <v>67</v>
      </c>
      <c r="AA13" s="184">
        <f t="shared" si="6"/>
        <v>58</v>
      </c>
      <c r="AB13" s="184">
        <f t="shared" si="6"/>
        <v>13</v>
      </c>
      <c r="AC13" s="184">
        <f t="shared" si="6"/>
        <v>0</v>
      </c>
      <c r="AD13" s="184">
        <f t="shared" si="6"/>
        <v>0</v>
      </c>
      <c r="AE13" s="184">
        <f t="shared" si="6"/>
        <v>0</v>
      </c>
      <c r="AF13" s="184">
        <f>SUBTOTAL(9,AF9:AF12)</f>
        <v>0</v>
      </c>
      <c r="AG13" s="184">
        <f t="shared" ref="AG13:AT13" si="7">SUBTOTAL(9,AG8:AG12)</f>
        <v>28</v>
      </c>
      <c r="AH13" s="184">
        <f t="shared" si="7"/>
        <v>51</v>
      </c>
      <c r="AI13" s="184">
        <f t="shared" si="7"/>
        <v>59</v>
      </c>
      <c r="AJ13" s="184">
        <f t="shared" si="7"/>
        <v>20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712</v>
      </c>
      <c r="AZ13" s="184">
        <f>SUBTOTAL(9,AZ8:AZ12)</f>
        <v>605</v>
      </c>
      <c r="BA13" s="184">
        <f>SUBTOTAL(9,BA8:BA12)</f>
        <v>490</v>
      </c>
      <c r="BB13" s="184">
        <f>SUBTOTAL(9,BB8:BB12)</f>
        <v>914</v>
      </c>
      <c r="BC13" s="184">
        <f>SUBTOTAL(9,BC8:BC12)</f>
        <v>127</v>
      </c>
      <c r="BD13" s="205">
        <f>IF(ISNUMBER(BA13/AZ13),BA13/AZ13," - ")</f>
        <v>0.80991735537190079</v>
      </c>
      <c r="BE13" s="206">
        <f>IF(ISNUMBER(BB13/BA13),BB13/BA13, " - ")</f>
        <v>1.8653061224489795</v>
      </c>
      <c r="BF13" s="206">
        <f>IF(ISNUMBER(BC13/BA13),BC13/BA13, " - ")</f>
        <v>0.25918367346938775</v>
      </c>
      <c r="BG13" s="207">
        <f>IF(ISNUMBER((AY13+AZ13)/BA13),(AY13+AZ13)/BA13," - ")</f>
        <v>2.6877551020408164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253</v>
      </c>
      <c r="J16" s="183">
        <v>151</v>
      </c>
      <c r="K16" s="183">
        <v>163</v>
      </c>
      <c r="L16" s="183">
        <v>241</v>
      </c>
      <c r="M16" s="183">
        <v>39</v>
      </c>
      <c r="N16" s="183">
        <v>75</v>
      </c>
      <c r="O16" s="181">
        <v>2</v>
      </c>
      <c r="P16" s="183">
        <v>14</v>
      </c>
      <c r="Q16" s="183">
        <v>9</v>
      </c>
      <c r="R16" s="183">
        <v>54</v>
      </c>
      <c r="S16" s="183">
        <v>207</v>
      </c>
      <c r="T16" s="183">
        <v>198</v>
      </c>
      <c r="U16" s="183">
        <v>202</v>
      </c>
      <c r="V16" s="183">
        <v>203</v>
      </c>
      <c r="W16" s="183">
        <v>40</v>
      </c>
      <c r="X16" s="189">
        <v>97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207</v>
      </c>
      <c r="AZ16" s="127">
        <f t="shared" si="9"/>
        <v>198</v>
      </c>
      <c r="BA16" s="127">
        <f t="shared" si="9"/>
        <v>202</v>
      </c>
      <c r="BB16" s="127">
        <f t="shared" si="9"/>
        <v>203</v>
      </c>
      <c r="BC16" s="125">
        <f>IF(ISNUMBER(W16),W16," - ")</f>
        <v>40</v>
      </c>
      <c r="BD16" s="126">
        <f t="shared" ref="BD16" si="11">IF(ISNUMBER(BA16/AZ16),BA16/AZ16," - ")</f>
        <v>1.0202020202020201</v>
      </c>
      <c r="BE16" s="127">
        <f t="shared" ref="BE16" si="12">IF(ISNUMBER(BB16/BA16),BB16/BA16, " - ")</f>
        <v>1.004950495049505</v>
      </c>
      <c r="BF16" s="127">
        <f t="shared" ref="BF16" si="13">IF(ISNUMBER(BC16/BA16),BC16/BA16, " - ")</f>
        <v>0.19801980198019803</v>
      </c>
      <c r="BG16" s="196">
        <f t="shared" si="10"/>
        <v>2.004950495049505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19</v>
      </c>
      <c r="K17" s="183">
        <v>20</v>
      </c>
      <c r="L17" s="183">
        <v>27</v>
      </c>
      <c r="M17" s="183">
        <v>2</v>
      </c>
      <c r="N17" s="183">
        <v>12</v>
      </c>
      <c r="O17" s="183">
        <v>0</v>
      </c>
      <c r="P17" s="183">
        <v>0</v>
      </c>
      <c r="Q17" s="183">
        <v>0</v>
      </c>
      <c r="R17" s="183">
        <v>1</v>
      </c>
      <c r="S17" s="183">
        <v>11</v>
      </c>
      <c r="T17" s="183">
        <v>25</v>
      </c>
      <c r="U17" s="183">
        <v>17</v>
      </c>
      <c r="V17" s="183">
        <v>19</v>
      </c>
      <c r="W17" s="183">
        <v>1</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11</v>
      </c>
      <c r="AZ17" s="129">
        <f t="shared" si="14"/>
        <v>25</v>
      </c>
      <c r="BA17" s="129">
        <f t="shared" si="14"/>
        <v>17</v>
      </c>
      <c r="BB17" s="129">
        <f t="shared" si="14"/>
        <v>19</v>
      </c>
      <c r="BC17" s="125">
        <f>IF(ISNUMBER(W17),W17," - ")</f>
        <v>1</v>
      </c>
      <c r="BD17" s="126">
        <f>IF(ISNUMBER(BA17/AZ17),BA17/AZ17," - ")</f>
        <v>0.68</v>
      </c>
      <c r="BE17" s="127">
        <f>IF(ISNUMBER(BB17/BA17),BB17/BA17, " - ")</f>
        <v>1.1176470588235294</v>
      </c>
      <c r="BF17" s="127">
        <f>IF(ISNUMBER(BC17/BA17),BC17/BA17, " - ")</f>
        <v>5.8823529411764705E-2</v>
      </c>
      <c r="BG17" s="196">
        <f>IF(ISNUMBER((AY17+AZ17)/BA17),(AY17+AZ17)/BA17," - ")</f>
        <v>2.1176470588235294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281</v>
      </c>
      <c r="J18" s="184">
        <f t="shared" si="15"/>
        <v>170</v>
      </c>
      <c r="K18" s="184">
        <f t="shared" si="15"/>
        <v>183</v>
      </c>
      <c r="L18" s="184">
        <f t="shared" si="15"/>
        <v>268</v>
      </c>
      <c r="M18" s="184">
        <f t="shared" si="15"/>
        <v>41</v>
      </c>
      <c r="N18" s="184">
        <f t="shared" si="15"/>
        <v>87</v>
      </c>
      <c r="O18" s="184">
        <f t="shared" si="15"/>
        <v>2</v>
      </c>
      <c r="P18" s="184">
        <f t="shared" si="15"/>
        <v>14</v>
      </c>
      <c r="Q18" s="184">
        <f t="shared" si="15"/>
        <v>9</v>
      </c>
      <c r="R18" s="184">
        <f t="shared" si="15"/>
        <v>55</v>
      </c>
      <c r="S18" s="184">
        <f t="shared" si="15"/>
        <v>218</v>
      </c>
      <c r="T18" s="184">
        <f t="shared" si="15"/>
        <v>223</v>
      </c>
      <c r="U18" s="184">
        <f t="shared" si="15"/>
        <v>219</v>
      </c>
      <c r="V18" s="184">
        <f t="shared" si="15"/>
        <v>222</v>
      </c>
      <c r="W18" s="184">
        <f t="shared" si="15"/>
        <v>41</v>
      </c>
      <c r="X18" s="184">
        <f t="shared" si="15"/>
        <v>114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218</v>
      </c>
      <c r="AZ18" s="184">
        <f>SUBTOTAL(9,AZ14:AZ17)</f>
        <v>223</v>
      </c>
      <c r="BA18" s="184">
        <f>SUBTOTAL(9,BA14:BA17)</f>
        <v>219</v>
      </c>
      <c r="BB18" s="184">
        <f>SUBTOTAL(9,BB14:BB17)</f>
        <v>222</v>
      </c>
      <c r="BC18" s="184">
        <f>SUBTOTAL(9,BC14:BC17)</f>
        <v>41</v>
      </c>
      <c r="BD18" s="205">
        <f>IF(ISNUMBER(BA18/AZ18),BA18/AZ18," - ")</f>
        <v>0.98206278026905824</v>
      </c>
      <c r="BE18" s="206">
        <f>IF(ISNUMBER(BB18/BA18),BB18/BA18, " - ")</f>
        <v>1.0136986301369864</v>
      </c>
      <c r="BF18" s="206">
        <f>IF(ISNUMBER(BC18/BA18),BC18/BA18, " - ")</f>
        <v>0.18721461187214611</v>
      </c>
      <c r="BG18" s="207">
        <f>IF(ISNUMBER((AY18+AZ18)/BA18),(AY18+AZ18)/BA18," - ")</f>
        <v>2.0136986301369864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1100</v>
      </c>
      <c r="J19" s="134">
        <f t="shared" si="18"/>
        <v>849</v>
      </c>
      <c r="K19" s="134">
        <f t="shared" si="18"/>
        <v>699</v>
      </c>
      <c r="L19" s="134">
        <f t="shared" si="18"/>
        <v>1250</v>
      </c>
      <c r="M19" s="134">
        <f t="shared" si="18"/>
        <v>174</v>
      </c>
      <c r="N19" s="134">
        <f t="shared" si="18"/>
        <v>322</v>
      </c>
      <c r="O19" s="134">
        <f t="shared" si="18"/>
        <v>311</v>
      </c>
      <c r="P19" s="134">
        <f t="shared" si="18"/>
        <v>212</v>
      </c>
      <c r="Q19" s="134">
        <f t="shared" si="18"/>
        <v>101</v>
      </c>
      <c r="R19" s="134">
        <f t="shared" si="18"/>
        <v>1665</v>
      </c>
      <c r="S19" s="134">
        <f t="shared" si="18"/>
        <v>902</v>
      </c>
      <c r="T19" s="134">
        <f t="shared" si="18"/>
        <v>777</v>
      </c>
      <c r="U19" s="134">
        <f t="shared" si="18"/>
        <v>650</v>
      </c>
      <c r="V19" s="134">
        <f t="shared" si="18"/>
        <v>1116</v>
      </c>
      <c r="W19" s="134">
        <f t="shared" si="18"/>
        <v>169</v>
      </c>
      <c r="X19" s="134">
        <f t="shared" si="18"/>
        <v>241</v>
      </c>
      <c r="Y19" s="134">
        <f t="shared" si="18"/>
        <v>4</v>
      </c>
      <c r="Z19" s="134">
        <f t="shared" si="18"/>
        <v>67</v>
      </c>
      <c r="AA19" s="134">
        <f t="shared" si="18"/>
        <v>58</v>
      </c>
      <c r="AB19" s="134">
        <f t="shared" si="18"/>
        <v>13</v>
      </c>
      <c r="AC19" s="134">
        <f t="shared" si="18"/>
        <v>0</v>
      </c>
      <c r="AD19" s="134">
        <f t="shared" si="18"/>
        <v>0</v>
      </c>
      <c r="AE19" s="134">
        <f t="shared" si="18"/>
        <v>0</v>
      </c>
      <c r="AF19" s="134">
        <f t="shared" si="18"/>
        <v>0</v>
      </c>
      <c r="AG19" s="134">
        <f t="shared" si="18"/>
        <v>28</v>
      </c>
      <c r="AH19" s="134">
        <f t="shared" si="18"/>
        <v>51</v>
      </c>
      <c r="AI19" s="134">
        <f t="shared" si="18"/>
        <v>59</v>
      </c>
      <c r="AJ19" s="134">
        <f t="shared" si="18"/>
        <v>20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930</v>
      </c>
      <c r="AZ19" s="134">
        <f>SUBTOTAL(9,AZ9:AZ18)</f>
        <v>828</v>
      </c>
      <c r="BA19" s="134">
        <f>SUBTOTAL(9,BA9:BA18)</f>
        <v>709</v>
      </c>
      <c r="BB19" s="134">
        <f>SUBTOTAL(9,BB9:BB18)</f>
        <v>1136</v>
      </c>
      <c r="BC19" s="135">
        <f>SUBTOTAL(9,BC9:BC18)</f>
        <v>168</v>
      </c>
      <c r="BD19" s="213">
        <f>IF(ISNUMBER(BA19/AZ19),BA19/AZ19," - ")</f>
        <v>0.856280193236715</v>
      </c>
      <c r="BE19" s="210">
        <f>IF(ISNUMBER(BB19/BA19),BB19/BA19, " - ")</f>
        <v>1.6022566995768688</v>
      </c>
      <c r="BF19" s="210">
        <f>IF(ISNUMBER(BC19/BA19),BC19/BA19, " - ")</f>
        <v>0.23695345557122707</v>
      </c>
      <c r="BG19" s="135">
        <f>IF(ISNUMBER((AY19+AZ19)/BA19),(AY19+AZ19)/BA19," - ")</f>
        <v>2.4795486600846264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eqpg3iCkXRl+DMygQCXnvwz9hF+ogVNFr6h6jl0OL2C3NZmGfUOr796tn+SaHqdl0r7ISExenQp080uVuKPYQ==" saltValue="gjI9ax3QMGqBLVtfYZkC8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QTZ/jv2Zzu5DDbehwuiJEAl0QRTrmtK1a/Jgw3aScIV5JjmwY9p8MhIZea70ul5QRvxDWjUogR+7AlsNhnGJw==" saltValue="pdEdc8FbQqizRcovq1Zw5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67</v>
      </c>
      <c r="O12" s="334"/>
      <c r="P12" s="334"/>
      <c r="Q12" s="226">
        <f>IF(ISNUMBER(Datos!P12),Datos!P12,0)</f>
        <v>198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1610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132</v>
      </c>
      <c r="BD12" s="229">
        <f>IF(ISNUMBER(Datos!N12),Datos!N12," - ")</f>
        <v>235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0.76912751677852353</v>
      </c>
      <c r="BH12" s="260">
        <f>IF(ISNUMBER(((IF(J_V="SI",Datos!L12/Datos!K12,(Datos!L12+Datos!AB12)/(Datos!K12+Datos!AA12)))*11)/factor_trimestre),((IF(J_V="SI",Datos!L12/Datos!K12,(Datos!L12+Datos!AB12)/(Datos!K12+Datos!AA12)))*11)/factor_trimestre," - ")</f>
        <v>5.1832460732984291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7.0478723404255317E-2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67</v>
      </c>
      <c r="O13" s="900">
        <f t="shared" si="0"/>
        <v>0</v>
      </c>
      <c r="P13" s="900">
        <f t="shared" si="0"/>
        <v>0</v>
      </c>
      <c r="Q13" s="899">
        <f t="shared" si="0"/>
        <v>198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92</v>
      </c>
      <c r="AD13" s="899">
        <f t="shared" si="1"/>
        <v>0</v>
      </c>
      <c r="AE13" s="899">
        <f t="shared" si="1"/>
        <v>0</v>
      </c>
      <c r="AF13" s="899">
        <f t="shared" si="1"/>
        <v>5</v>
      </c>
      <c r="AG13" s="899">
        <f t="shared" si="1"/>
        <v>0</v>
      </c>
      <c r="AH13" s="899">
        <f t="shared" si="1"/>
        <v>13</v>
      </c>
      <c r="AI13" s="899">
        <f t="shared" si="1"/>
        <v>0</v>
      </c>
      <c r="AJ13" s="899">
        <f t="shared" si="1"/>
        <v>0</v>
      </c>
      <c r="AK13" s="899">
        <f t="shared" si="1"/>
        <v>0</v>
      </c>
      <c r="AL13" s="899">
        <f t="shared" si="1"/>
        <v>0</v>
      </c>
      <c r="AM13" s="899">
        <f t="shared" si="1"/>
        <v>1610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133</v>
      </c>
      <c r="BD13" s="899">
        <f t="shared" si="1"/>
        <v>235</v>
      </c>
      <c r="BE13" s="899">
        <f t="shared" si="1"/>
        <v>0</v>
      </c>
      <c r="BF13" s="899">
        <f t="shared" si="1"/>
        <v>0</v>
      </c>
      <c r="BG13" s="899">
        <f>IF(ISNUMBER(Datos!K13/Datos!J13),Datos!K13/Datos!J13," - ")</f>
        <v>0.75994108983799702</v>
      </c>
      <c r="BH13" s="903">
        <f>IF(ISNUMBER(((Datos!L13/Datos!K13)*11)/factor_trimestre),((Datos!L13/Datos!K13)*11)/factor_trimestre," - ")</f>
        <v>5.7093023255813957</v>
      </c>
      <c r="BI13" s="899">
        <f>IF(ISNUMBER('Resol  Asuntos'!D13/NºAsuntos!G13),'Resol  Asuntos'!D13/NºAsuntos!G13," - ")</f>
        <v>0.23170731707317074</v>
      </c>
      <c r="BJ13" s="899" t="str">
        <f>IF(ISNUMBER(Datos!CI13/Datos!CJ13),Datos!CI13/Datos!CJ13," - ")</f>
        <v xml:space="preserve"> - </v>
      </c>
      <c r="BK13" s="899">
        <f>SUBTOTAL(9,BK8:BK12)</f>
        <v>0</v>
      </c>
      <c r="BL13" s="899">
        <f>IF(ISNUMBER((I13-AB13+L13)/(F13)),(I13-AB13+L13)/(F13)," - ")</f>
        <v>-0.2</v>
      </c>
      <c r="BM13" s="904">
        <f>SUBTOTAL(9,BM9:BM12)</f>
        <v>7.0478723404255317E-2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253</v>
      </c>
      <c r="G16" s="598">
        <f>IF(ISNUMBER(IF(D_I="SI",Datos!I16,Datos!I16+Datos!AC16)),IF(D_I="SI",Datos!I16,Datos!I16+Datos!AC16)," - ")</f>
        <v>253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163</v>
      </c>
      <c r="AC16" s="226">
        <f>IF(ISNUMBER(Datos!Q16),Datos!Q16," - ")</f>
        <v>9</v>
      </c>
      <c r="AD16" s="334"/>
      <c r="AE16" s="484"/>
      <c r="AF16" s="596">
        <f>IF(ISNUMBER(IF(D_I="SI",Datos!L16,Datos!L16+Datos!AF16)),IF(D_I="SI",Datos!L16,Datos!L16+Datos!AF16)," - ")</f>
        <v>241</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1.0794701986754967</v>
      </c>
      <c r="BH16" s="260">
        <f>IF(ISNUMBER(((IF(D_I="SI",Datos!L16/Datos!K16,(Datos!L16+Datos!AF16)/(Datos!K16+Datos!AE16)))*11)/factor_trimestre),((IF(D_I="SI",Datos!L16/Datos!K16,(Datos!L16+Datos!AF16)/(Datos!K16+Datos!AE16)))*11)/factor_trimestre," - ")</f>
        <v>4.4355828220858902</v>
      </c>
      <c r="BI16" s="243">
        <f>IF(ISNUMBER('Resol  Asuntos'!D16/NºAsuntos!G16),'Resol  Asuntos'!D16/NºAsuntos!G16," - ")</f>
        <v>0.2392638036809816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27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1.0526315789473684</v>
      </c>
      <c r="BH17" s="260">
        <f>IF(ISNUMBER(((IF(D_I="SI",Datos!L17/Datos!K17,(Datos!L17+Datos!AF17)/(Datos!K17+Datos!AE17)))*11)/factor_trimestre),((IF(D_I="SI",Datos!L17/Datos!K17,(Datos!L17+Datos!AF17)/(Datos!K17+Datos!AE17)))*11)/factor_trimestre," - ")</f>
        <v>4.0500000000000007</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253</v>
      </c>
      <c r="G18" s="898">
        <f>SUBTOTAL(9,G15:G17)</f>
        <v>281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183</v>
      </c>
      <c r="AC18" s="899">
        <f t="shared" si="4"/>
        <v>9</v>
      </c>
      <c r="AD18" s="899">
        <f t="shared" si="4"/>
        <v>0</v>
      </c>
      <c r="AE18" s="899">
        <f t="shared" si="4"/>
        <v>0</v>
      </c>
      <c r="AF18" s="899">
        <f t="shared" si="4"/>
        <v>268</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87</v>
      </c>
      <c r="BE18" s="899">
        <f t="shared" si="4"/>
        <v>0</v>
      </c>
      <c r="BF18" s="899">
        <f t="shared" si="4"/>
        <v>0</v>
      </c>
      <c r="BG18" s="899">
        <f>IF(ISNUMBER(Datos!K18/Datos!J18),Datos!K18/Datos!J18," - ")</f>
        <v>1.0764705882352941</v>
      </c>
      <c r="BH18" s="903">
        <f>IF(ISNUMBER(((Datos!L18/Datos!K18)*11)/factor_trimestre),((Datos!L18/Datos!K18)*11)/factor_trimestre," - ")</f>
        <v>4.3934426229508201</v>
      </c>
      <c r="BI18" s="899">
        <f>SUBTOTAL(9,BI15:BI17)</f>
        <v>0.33926380368098163</v>
      </c>
      <c r="BJ18" s="899">
        <f>SUBTOTAL(9,BJ15:BJ17)</f>
        <v>0</v>
      </c>
      <c r="BK18" s="899">
        <f>SUBTOTAL(9,BK15:BK17)</f>
        <v>0</v>
      </c>
      <c r="BL18" s="899">
        <f>IF(ISNUMBER((I18-AB18+L18)/(F18)),(I18-AB18+L18)/(F18)," - ")</f>
        <v>-0.72332015810276684</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258</v>
      </c>
      <c r="G19" s="820">
        <f t="shared" si="6"/>
        <v>286</v>
      </c>
      <c r="H19" s="822">
        <f t="shared" si="6"/>
        <v>0</v>
      </c>
      <c r="I19" s="820">
        <f t="shared" si="6"/>
        <v>0</v>
      </c>
      <c r="J19" s="822">
        <f t="shared" si="6"/>
        <v>0</v>
      </c>
      <c r="K19" s="822">
        <f t="shared" si="6"/>
        <v>0</v>
      </c>
      <c r="L19" s="881">
        <f t="shared" si="6"/>
        <v>0</v>
      </c>
      <c r="M19" s="881">
        <f t="shared" si="6"/>
        <v>0</v>
      </c>
      <c r="N19" s="881">
        <f t="shared" si="6"/>
        <v>67</v>
      </c>
      <c r="O19" s="881">
        <f t="shared" si="6"/>
        <v>0</v>
      </c>
      <c r="P19" s="881">
        <f t="shared" si="6"/>
        <v>0</v>
      </c>
      <c r="Q19" s="822">
        <f t="shared" si="6"/>
        <v>212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184</v>
      </c>
      <c r="AC19" s="821">
        <f t="shared" si="7"/>
        <v>101</v>
      </c>
      <c r="AD19" s="821">
        <f t="shared" si="7"/>
        <v>0</v>
      </c>
      <c r="AE19" s="821">
        <f t="shared" si="7"/>
        <v>0</v>
      </c>
      <c r="AF19" s="828">
        <f t="shared" si="7"/>
        <v>273</v>
      </c>
      <c r="AG19" s="828">
        <f t="shared" si="7"/>
        <v>0</v>
      </c>
      <c r="AH19" s="828">
        <f t="shared" si="7"/>
        <v>13</v>
      </c>
      <c r="AI19" s="828">
        <f t="shared" si="7"/>
        <v>0</v>
      </c>
      <c r="AJ19" s="821">
        <f t="shared" si="7"/>
        <v>0</v>
      </c>
      <c r="AK19" s="828">
        <f t="shared" si="7"/>
        <v>0</v>
      </c>
      <c r="AL19" s="828">
        <f t="shared" si="7"/>
        <v>0</v>
      </c>
      <c r="AM19" s="828">
        <f t="shared" si="7"/>
        <v>1665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174</v>
      </c>
      <c r="BD19" s="820">
        <f t="shared" si="7"/>
        <v>322</v>
      </c>
      <c r="BE19" s="820">
        <f t="shared" si="7"/>
        <v>0</v>
      </c>
      <c r="BF19" s="830">
        <f t="shared" si="7"/>
        <v>0</v>
      </c>
      <c r="BG19" s="915">
        <f>IF(ISNUMBER(Datos!K19/Datos!J19),Datos!K19/Datos!J19," - ")</f>
        <v>0.82332155477031799</v>
      </c>
      <c r="BH19" s="915">
        <f>IF(ISNUMBER(((Datos!L19/Datos!K19)*11)/factor_trimestre),((Datos!L19/Datos!K19)*11)/factor_trimestre," - ")</f>
        <v>5.3648068669527902</v>
      </c>
      <c r="BI19" s="813">
        <f>IF(ISNUMBER(Datos!J19/Datos!I19),Datos!J19/Datos!I19," - ")</f>
        <v>0.77181818181818185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-0.71317829457364346</v>
      </c>
      <c r="BM19" s="889">
        <f>IF(ISNUMBER((Datos!P19-Datos!Q19+R19)/(Datos!R19-Datos!P19+Datos!Q19-R19)),(Datos!P19-Datos!Q19+R19)/(Datos!R19-Datos!P19+Datos!Q19-R19)," - ")</f>
        <v>7.1428571428571425E-2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143.18286675902718</v>
      </c>
      <c r="G21" s="552">
        <f>IF(ISNUMBER(STDEV(G8:G18)),STDEV(G8:G18),"-")</f>
        <v>139.97071122202672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91.344403222091273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60.226240128369291</v>
      </c>
      <c r="BD21" s="551"/>
      <c r="BE21" s="551">
        <f>IF(ISNUMBER(STDEV(BE8:BE18)),STDEV(BE8:BE18),"-")</f>
        <v>0</v>
      </c>
      <c r="BF21" s="556">
        <f>IF(ISNUMBER(STDEV(BF8:BF18)),STDEV(BF8:BF18),"-")</f>
        <v>0</v>
      </c>
      <c r="BG21" s="775">
        <f>IF(ISNUMBER(STDEV(BG8:BG18)),STDEV(BG8:BG18),"-")</f>
        <v>0.15125586737803998</v>
      </c>
      <c r="BH21" s="776">
        <f>IF(ISNUMBER(STDEV(BH8:BH18)),STDEV(BH8:BH18),"-")</f>
        <v>4.2261625516525427</v>
      </c>
      <c r="BI21" s="249">
        <f>IF(ISNUMBER(STDEV(BI8:BI18)),STDEV(BI8:BI18),"-")</f>
        <v>9.8155442385818678E-2</v>
      </c>
      <c r="BJ21" s="230" t="str">
        <f>IF(ISNUMBER(BL21/BM21),BL21/BM21," - ")</f>
        <v xml:space="preserve"> - </v>
      </c>
      <c r="BK21" s="575"/>
      <c r="BL21" s="559">
        <f>IF(ISNUMBER(STDEV(BL8:BL18)),STDEV(BL8:BL18),"-")</f>
        <v>0.37004323252608273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Tw7mFcqXQtS0AZXVF306VOEU3SsoPCcxj+W0ntYcPiF22eaNb5Uv9ULY07Lrok/Ksrt/aEf0MBXFbi22+7DV0Q==" saltValue="U4ssVLgDiuGgmaejV2NrY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LALIN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92</v>
      </c>
      <c r="AA12" s="332" t="str">
        <f>IF(ISNUMBER(IF(J_V="SI",Datos!L12,Datos!L12+Datos!AB12)-IF(Monitorios="SI",Datos!CD12,0)),
                          IF(J_V="SI",Datos!L12,Datos!L12+Datos!AB12)-IF(Monitorios="SI",Datos!CD12,0),
                          " - ")</f>
        <v xml:space="preserve"> - </v>
      </c>
      <c r="AB12" s="334"/>
      <c r="AC12" s="334"/>
      <c r="AD12" s="484"/>
      <c r="AE12" s="484">
        <f>IF(ISNUMBER(Datos!R12),Datos!R12," - ")</f>
        <v>1610</v>
      </c>
      <c r="AF12" s="229" t="str">
        <f>IF(ISNUMBER(Datos!BV12),Datos!BV12," - ")</f>
        <v xml:space="preserve"> - </v>
      </c>
      <c r="AG12" s="225" t="str">
        <f>IF(ISNUMBER(Datos!DV12),Datos!DV12," - ")</f>
        <v xml:space="preserve"> - </v>
      </c>
      <c r="AH12" s="298"/>
      <c r="AI12" s="227"/>
      <c r="AJ12" s="225">
        <f>IF(ISNUMBER(Datos!M12),Datos!M12," - ")</f>
        <v>132</v>
      </c>
      <c r="AK12" s="229">
        <f>IF(ISNUMBER(Datos!N12),Datos!N12," - ")</f>
        <v>235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5.1832460732984291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7.0478723404255317E-2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198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92</v>
      </c>
      <c r="AA13" s="900">
        <f t="shared" si="2"/>
        <v>5</v>
      </c>
      <c r="AB13" s="900">
        <f t="shared" si="2"/>
        <v>0</v>
      </c>
      <c r="AC13" s="900">
        <f t="shared" si="2"/>
        <v>0</v>
      </c>
      <c r="AD13" s="900">
        <f t="shared" si="2"/>
        <v>0</v>
      </c>
      <c r="AE13" s="900">
        <f t="shared" si="2"/>
        <v>1610</v>
      </c>
      <c r="AF13" s="908">
        <f t="shared" si="2"/>
        <v>0</v>
      </c>
      <c r="AG13" s="908">
        <f t="shared" si="2"/>
        <v>0</v>
      </c>
      <c r="AH13" s="908">
        <f t="shared" si="2"/>
        <v>0</v>
      </c>
      <c r="AI13" s="908">
        <f t="shared" si="2"/>
        <v>0</v>
      </c>
      <c r="AJ13" s="908">
        <f t="shared" si="2"/>
        <v>133</v>
      </c>
      <c r="AK13" s="908">
        <f t="shared" si="2"/>
        <v>235</v>
      </c>
      <c r="AL13" s="908">
        <f t="shared" si="2"/>
        <v>0</v>
      </c>
      <c r="AM13" s="908">
        <f t="shared" si="2"/>
        <v>0</v>
      </c>
      <c r="AN13" s="908">
        <f t="shared" si="2"/>
        <v>0</v>
      </c>
      <c r="AO13" s="904">
        <f>IF(ISNUMBER(((NºAsuntos!I13/NºAsuntos!G13)*11)/factor_trimestre),((NºAsuntos!I13/NºAsuntos!G13)*11)/factor_trimestre," - ")</f>
        <v>5.2003484320557494</v>
      </c>
      <c r="AP13" s="910" t="str">
        <f>IF(ISNUMBER(Datos!CI13/Datos!CJ13),Datos!CI13/Datos!CJ13," - ")</f>
        <v xml:space="preserve"> - </v>
      </c>
      <c r="AQ13" s="928">
        <f t="shared" ref="AQ13:AV13" si="3">SUBTOTAL(9,AQ9:AQ12)</f>
        <v>0</v>
      </c>
      <c r="AR13" s="928">
        <f t="shared" si="3"/>
        <v>7.0478723404255317E-2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253</v>
      </c>
      <c r="G16" s="225">
        <f>IF(ISNUMBER(IF(D_I="SI",Datos!I16,Datos!I16+Datos!AC16)),IF(D_I="SI",Datos!I16,Datos!I16+Datos!AC16)," - ")</f>
        <v>253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163</v>
      </c>
      <c r="Z16" s="619">
        <f>IF(ISNUMBER(Datos!Q16),Datos!Q16," - ")</f>
        <v>9</v>
      </c>
      <c r="AA16" s="332">
        <f>IF(ISNUMBER(IF(D_I="SI",Datos!L16,Datos!L16+Datos!AF16)),IF(D_I="SI",Datos!L16,Datos!L16+Datos!AF16)," - ")</f>
        <v>241</v>
      </c>
      <c r="AB16" s="334"/>
      <c r="AC16" s="334"/>
      <c r="AD16" s="484"/>
      <c r="AE16" s="484">
        <f>IF(ISNUMBER(Datos!R16),Datos!R16," - ")</f>
        <v>54</v>
      </c>
      <c r="AF16" s="229" t="str">
        <f>IF(ISNUMBER(Datos!BV16),Datos!BV16," - ")</f>
        <v xml:space="preserve"> - </v>
      </c>
      <c r="AG16" s="225"/>
      <c r="AH16" s="298"/>
      <c r="AI16" s="227"/>
      <c r="AJ16" s="225">
        <f>IF(ISNUMBER(Datos!M16),Datos!M16," - ")</f>
        <v>39</v>
      </c>
      <c r="AK16" s="229">
        <f>IF(ISNUMBER(Datos!N16),Datos!N16," - ")</f>
        <v>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4.4355828220858902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27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4.0500000000000007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253</v>
      </c>
      <c r="G18" s="898">
        <f>SUBTOTAL(9,G15:G17)</f>
        <v>281</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183</v>
      </c>
      <c r="Z18" s="932">
        <f t="shared" si="5"/>
        <v>9</v>
      </c>
      <c r="AA18" s="932">
        <f t="shared" si="5"/>
        <v>268</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41</v>
      </c>
      <c r="AK18" s="932">
        <f t="shared" si="5"/>
        <v>87</v>
      </c>
      <c r="AL18" s="932">
        <f t="shared" si="5"/>
        <v>0</v>
      </c>
      <c r="AM18" s="932">
        <f t="shared" si="5"/>
        <v>0</v>
      </c>
      <c r="AN18" s="932">
        <f t="shared" si="5"/>
        <v>0</v>
      </c>
      <c r="AO18" s="934">
        <f>IF(ISNUMBER(((NºAsuntos!I18/NºAsuntos!G18)*11)/factor_trimestre),((NºAsuntos!I18/NºAsuntos!G18)*11)/factor_trimestre," - ")</f>
        <v>4.3934426229508201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258</v>
      </c>
      <c r="G19" s="820">
        <f t="shared" si="7"/>
        <v>286</v>
      </c>
      <c r="H19" s="821">
        <f t="shared" si="7"/>
        <v>0</v>
      </c>
      <c r="I19" s="820">
        <f t="shared" si="7"/>
        <v>0</v>
      </c>
      <c r="J19" s="822">
        <f t="shared" si="7"/>
        <v>0</v>
      </c>
      <c r="K19" s="820">
        <f t="shared" si="7"/>
        <v>0</v>
      </c>
      <c r="L19" s="823">
        <f t="shared" si="7"/>
        <v>0</v>
      </c>
      <c r="M19" s="820">
        <f t="shared" si="7"/>
        <v>0</v>
      </c>
      <c r="N19" s="821">
        <f t="shared" si="7"/>
        <v>212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184</v>
      </c>
      <c r="Z19" s="827">
        <f t="shared" si="8"/>
        <v>101</v>
      </c>
      <c r="AA19" s="828">
        <f t="shared" si="8"/>
        <v>273</v>
      </c>
      <c r="AB19" s="828">
        <f t="shared" si="8"/>
        <v>0</v>
      </c>
      <c r="AC19" s="828">
        <f t="shared" si="8"/>
        <v>0</v>
      </c>
      <c r="AD19" s="829">
        <f t="shared" si="8"/>
        <v>0</v>
      </c>
      <c r="AE19" s="829">
        <f t="shared" si="8"/>
        <v>1665</v>
      </c>
      <c r="AF19" s="830">
        <f t="shared" si="8"/>
        <v>0</v>
      </c>
      <c r="AG19" s="831">
        <f t="shared" si="8"/>
        <v>0</v>
      </c>
      <c r="AH19" s="832">
        <f t="shared" si="8"/>
        <v>0</v>
      </c>
      <c r="AI19" s="830">
        <f t="shared" si="8"/>
        <v>0</v>
      </c>
      <c r="AJ19" s="820">
        <f t="shared" si="8"/>
        <v>174</v>
      </c>
      <c r="AK19" s="820">
        <f t="shared" si="8"/>
        <v>322</v>
      </c>
      <c r="AL19" s="820">
        <f t="shared" si="8"/>
        <v>0</v>
      </c>
      <c r="AM19" s="833">
        <f t="shared" si="8"/>
        <v>0</v>
      </c>
      <c r="AN19" s="823">
        <f>IF(ISNUMBER(Datos!K19/Datos!J19),Datos!K19/Datos!J19," - ")</f>
        <v>0.82332155477031799</v>
      </c>
      <c r="AO19" s="823">
        <f>IF(ISNUMBER(FIND("06",Criterios!A8,1)),(IF(ISNUMBER(((Datos!R19/Datos!Q19)*11)/factor_trimestre),((Datos!R19/Datos!Q19)*11)/factor_trimestre," - ")),(IF(ISNUMBER(((Datos!L19/Datos!K19)*11)/factor_trimestre),((Datos!L19/Datos!K19)*11)/factor_trimestre," - ")))</f>
        <v>5.3648068669527902</v>
      </c>
      <c r="AP19" s="834" t="str">
        <f>IF(ISNUMBER(Datos!CI19/Datos!CJ19),Datos!CI19/Datos!CJ19," - ")</f>
        <v xml:space="preserve"> - </v>
      </c>
      <c r="AQ19" s="834">
        <f>IF(OR(ISNUMBER(FIND("01",Criterios!A8,1)),ISNUMBER(FIND("02",Criterios!A8,1)),ISNUMBER(FIND("03",Criterios!A8,1)),ISNUMBER(FIND("04",Criterios!A8,1))),(J19-Y19+K19)/(F19-K19),(I19-Y19+K19)/(F19-K19))</f>
        <v>-0.71317829457364346</v>
      </c>
      <c r="AR19" s="834">
        <f>IF(ISNUMBER((Datos!P19-Datos!Q19+O19)/(Datos!R19-Datos!P19+Datos!Q19-O19)),(Datos!P19-Datos!Q19+O19)/(Datos!R19-Datos!P19+Datos!Q19-O19)," - ")</f>
        <v>7.1428571428571425E-2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143.18286675902718</v>
      </c>
      <c r="G21" s="552">
        <f>IF(ISNUMBER(STDEV(G8:G18)),STDEV(G8:G18),"-")</f>
        <v>139.97071122202672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60.226240128369291</v>
      </c>
      <c r="AK21" s="252"/>
      <c r="AL21" s="252">
        <f>IF(ISNUMBER(STDEV(AL8:AL18)),STDEV(AL8:AL18),"-")</f>
        <v>0</v>
      </c>
      <c r="AM21" s="254">
        <f>IF(ISNUMBER(STDEV(AM8:AM18)),STDEV(AM8:AM18),"-")</f>
        <v>0</v>
      </c>
      <c r="AN21" s="539">
        <f>IF(ISNUMBER(STDEV(AN8:AN18)),STDEV(AN8:AN18),"-")</f>
        <v>0</v>
      </c>
      <c r="AO21" s="540">
        <f>IF(ISNUMBER(STDEV(AO8:AO18)),STDEV(AO8:AO18),"-")</f>
        <v>4.2493344375925703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SP12jhTGrDei4FGAPFoI6fTDnZESXN7+u3FgLRphlP213PK9iBOoWYcGINY70yM4rdPp3tUjd1rm/dR7o5ETQ==" saltValue="DcXm4z7p64J/ZQWBwOXhG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ssQHYBv6rdfi8SN/c5JY2bQqqRpiczTu3o0VDOFPYyKPVcHmfbXYGuKfGjmAv0vcAiD4YrqENLtulEWWMoGWw==" saltValue="xPaw8wt1Jo7iWoRIoFi8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5rB4xI7UJZ1xf8lHuVOBiOcieztSXinIdsdJQ5p77AncAevyZxF7Aylwy6b+MPmH+e2T0HGousy6JN0b+LbQ==" saltValue="2Iybk0Rg04L3iiOB4mbVP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0.23170731707317074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0.16384181515298052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TPNG0Dlr2HJN9101W3CIQ7wAhwqowV6UTFTCfrIu1oa3H7ttMSzYZZXUo1Kn08dliD0ZY5wmXHROhdQq64W6rA==" saltValue="dJEca1t31WzZo2dR4jcPk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GJOgzqti9S3l7tfDVggHlqUjyC3zjTneyJod+ttEe1vsKhWp2i48Ykh/bdcerloPrIRVC5kbVCDoWHWdSXLxw==" saltValue="aHd9CmugXZk+DwHDG43x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LALIN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818</v>
      </c>
      <c r="D12" s="404">
        <f>IF(ISNUMBER(C12/Datos!BH12),C12/Datos!BH12," - ")</f>
        <v>409</v>
      </c>
      <c r="E12" s="403">
        <f>IF(ISNUMBER(IF(J_V="SI",Datos!J12,Datos!J12+Datos!Z12)),IF(J_V="SI",Datos!J12,Datos!J12+Datos!Z12)," - ")</f>
        <v>745</v>
      </c>
      <c r="F12" s="404">
        <f>IF(ISNUMBER(E12/B12),E12/B12," - ")</f>
        <v>372.5</v>
      </c>
      <c r="G12" s="403">
        <f>IF(ISNUMBER(IF(J_V="SI",Datos!K12,Datos!K12+Datos!AA12)),IF(J_V="SI",Datos!K12,Datos!K12+Datos!AA12)," - ")</f>
        <v>573</v>
      </c>
      <c r="H12" s="404">
        <f>IF(ISNUMBER(G12/B12),G12/B12," - ")</f>
        <v>286.5</v>
      </c>
      <c r="I12" s="403">
        <f>IF(ISNUMBER(IF(J_V="SI",Datos!L12,Datos!L12+Datos!AB12)),IF(J_V="SI",Datos!L12,Datos!L12+Datos!AB12)," - ")</f>
        <v>990</v>
      </c>
      <c r="J12" s="404">
        <f>IF(ISNUMBER(I12/B12),I12/B12," - ")</f>
        <v>495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823</v>
      </c>
      <c r="D13" s="850" t="str">
        <f>IF(ISNUMBER(C13/Datos!BI13),C13/Datos!BI13," - ")</f>
        <v xml:space="preserve"> - </v>
      </c>
      <c r="E13" s="849">
        <f>SUBTOTAL(9,E8:E12)</f>
        <v>746</v>
      </c>
      <c r="F13" s="850">
        <f>IF(ISNUMBER(E13/B13),E13/B13," - ")</f>
        <v>373</v>
      </c>
      <c r="G13" s="849">
        <f>SUBTOTAL(9,G8:G12)</f>
        <v>574</v>
      </c>
      <c r="H13" s="850">
        <f>IF(ISNUMBER(G13/B13),G13/B13," - ")</f>
        <v>287</v>
      </c>
      <c r="I13" s="849">
        <f>SUBTOTAL(9,I8:I12)</f>
        <v>995</v>
      </c>
      <c r="J13" s="850">
        <f>IF(ISNUMBER(I13/B13),I13/B13," - ")</f>
        <v>497.5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253</v>
      </c>
      <c r="D16" s="404">
        <f>IF(ISNUMBER(C16/Datos!BH16),C16/Datos!BH16," - ")</f>
        <v>126.5</v>
      </c>
      <c r="E16" s="403">
        <f>IF(ISNUMBER(IF(D_I="SI",Datos!J16,Datos!J16+Datos!AD16)),IF(D_I="SI",Datos!J16,Datos!J16+Datos!AD16)," - ")</f>
        <v>151</v>
      </c>
      <c r="F16" s="404">
        <f>IF(ISNUMBER(E16/B16),E16/B16," - ")</f>
        <v>75.5</v>
      </c>
      <c r="G16" s="403">
        <f>IF(ISNUMBER(IF(D_I="SI",Datos!K16,Datos!K16+Datos!AE16)),IF(D_I="SI",Datos!K16,Datos!K16+Datos!AE16)," - ")</f>
        <v>163</v>
      </c>
      <c r="H16" s="404">
        <f>IF(ISNUMBER(G16/B16),G16/B16," - ")</f>
        <v>81.5</v>
      </c>
      <c r="I16" s="403">
        <f>IF(ISNUMBER(IF(D_I="SI",Datos!L16,Datos!L16+Datos!AF16)),IF(D_I="SI",Datos!L16,Datos!L16+Datos!AF16)," - ")</f>
        <v>241</v>
      </c>
      <c r="J16" s="404">
        <f>IF(ISNUMBER(I16/B16),I16/B16," - ")</f>
        <v>120.5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19</v>
      </c>
      <c r="F17" s="404">
        <f>IF(ISNUMBER(E17/B17),E17/B17," - ")</f>
        <v>19</v>
      </c>
      <c r="G17" s="403">
        <f>IF(ISNUMBER(IF(D_I="SI",Datos!K17,Datos!K17+Datos!AE17)),IF(D_I="SI",Datos!K17,Datos!K17+Datos!AE17)," - ")</f>
        <v>20</v>
      </c>
      <c r="H17" s="404">
        <f>IF(ISNUMBER(G17/B17),G17/B17," - ")</f>
        <v>20</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281</v>
      </c>
      <c r="D18" s="850" t="str">
        <f>IF(ISNUMBER(C18/Datos!BI18),C18/Datos!BI18," - ")</f>
        <v xml:space="preserve"> - </v>
      </c>
      <c r="E18" s="849">
        <f>SUBTOTAL(9,E14:E17)</f>
        <v>170</v>
      </c>
      <c r="F18" s="850">
        <f>IF(ISNUMBER(E18/B18),E18/B18," - ")</f>
        <v>85</v>
      </c>
      <c r="G18" s="849">
        <f>SUBTOTAL(9,G14:G17)</f>
        <v>183</v>
      </c>
      <c r="H18" s="850">
        <f>IF(ISNUMBER(G18/B18),G18/B18," - ")</f>
        <v>91.5</v>
      </c>
      <c r="I18" s="849">
        <f>SUBTOTAL(9,I14:I17)</f>
        <v>268</v>
      </c>
      <c r="J18" s="850">
        <f>IF(ISNUMBER(I18/B18),I18/B18," - ")</f>
        <v>134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1104</v>
      </c>
      <c r="D19" s="795" t="str">
        <f>IF(ISNUMBER(C19/Datos!BI19),C19/Datos!BI19," - ")</f>
        <v xml:space="preserve"> - </v>
      </c>
      <c r="E19" s="794">
        <f>SUBTOTAL(9,E9:E18)</f>
        <v>916</v>
      </c>
      <c r="F19" s="795">
        <f>IF(ISNUMBER(E19/B19),E19/B19," - ")</f>
        <v>458</v>
      </c>
      <c r="G19" s="794">
        <f>SUBTOTAL(9,G9:G18)</f>
        <v>757</v>
      </c>
      <c r="H19" s="795">
        <f>IF(ISNUMBER(G19/B19),G19/B19," - ")</f>
        <v>378.5</v>
      </c>
      <c r="I19" s="794">
        <f>SUBTOTAL(9,I9:I18)</f>
        <v>1263</v>
      </c>
      <c r="J19" s="795">
        <f>IF(ISNUMBER(I19/B19),I19/B19," - ")</f>
        <v>631.5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0hVlT/cyavVnyHe9lFpJ7yDQWashqRiNL4ZP3Pby+DovP7amwc5jYh8MBxBGb8J6/PHxEXI/ExNeQvq7qlY7Dw==" saltValue="1FgfWna4qX1MjWM3PEPy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LALIN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132</v>
      </c>
      <c r="AM12" s="690">
        <f>IF(ISNUMBER(Datos!N12+DatosP!N16),Datos!N12+DatosP!N16," - ")</f>
        <v>235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5.1832460732984291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7.0478723404255317E-2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198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92</v>
      </c>
      <c r="AE13" s="939">
        <f t="shared" si="1"/>
        <v>0</v>
      </c>
      <c r="AF13" s="939">
        <f t="shared" si="1"/>
        <v>5</v>
      </c>
      <c r="AG13" s="939">
        <f t="shared" si="1"/>
        <v>0</v>
      </c>
      <c r="AH13" s="939">
        <f t="shared" si="1"/>
        <v>1610</v>
      </c>
      <c r="AI13" s="939">
        <f t="shared" si="1"/>
        <v>0</v>
      </c>
      <c r="AJ13" s="939">
        <f t="shared" si="1"/>
        <v>0</v>
      </c>
      <c r="AK13" s="939">
        <f t="shared" si="1"/>
        <v>0</v>
      </c>
      <c r="AL13" s="939">
        <f t="shared" si="1"/>
        <v>133</v>
      </c>
      <c r="AM13" s="939">
        <f t="shared" si="1"/>
        <v>235</v>
      </c>
      <c r="AN13" s="939">
        <f t="shared" si="1"/>
        <v>0</v>
      </c>
      <c r="AO13" s="939">
        <f t="shared" si="1"/>
        <v>0</v>
      </c>
      <c r="AP13" s="944">
        <f>IF(ISNUMBER(((Datos!L13/Datos!K13)*11)/factor_trimestre),((Datos!L13/Datos!K13)*11)/factor_trimestre," - ")</f>
        <v>5.7093023255813957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7.0478723404255317E-2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4.3934426229508201</v>
      </c>
      <c r="AQ18" s="944">
        <f>IF(ISNUMBER(((Datos!M18/Datos!L18)*11)/factor_trimestre),((Datos!M18/Datos!L18)*11)/factor_trimestre," - ")</f>
        <v>0.45895522388059701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-0.17424242424242425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198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92</v>
      </c>
      <c r="AE19" s="957">
        <f t="shared" si="5"/>
        <v>0</v>
      </c>
      <c r="AF19" s="958">
        <f t="shared" si="5"/>
        <v>5</v>
      </c>
      <c r="AG19" s="958">
        <f t="shared" si="5"/>
        <v>0</v>
      </c>
      <c r="AH19" s="958">
        <f t="shared" si="5"/>
        <v>1610</v>
      </c>
      <c r="AI19" s="958">
        <f t="shared" si="5"/>
        <v>0</v>
      </c>
      <c r="AJ19" s="959">
        <f t="shared" si="5"/>
        <v>0</v>
      </c>
      <c r="AK19" s="959">
        <f t="shared" si="5"/>
        <v>0</v>
      </c>
      <c r="AL19" s="951">
        <f t="shared" si="5"/>
        <v>133</v>
      </c>
      <c r="AM19" s="951">
        <f t="shared" si="5"/>
        <v>235</v>
      </c>
      <c r="AN19" s="951">
        <f t="shared" si="5"/>
        <v>0</v>
      </c>
      <c r="AO19" s="951">
        <f t="shared" si="5"/>
        <v>0</v>
      </c>
      <c r="AP19" s="951">
        <f>IF(ISNUMBER(((Datos!L19/Datos!K19)*11)/factor_trimestre),((Datos!L19/Datos!K19)*11)/factor_trimestre," - ")</f>
        <v>5.3648068669527902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7.1428571428571425E-2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76.212422434491174</v>
      </c>
      <c r="AM21" s="736"/>
      <c r="AN21" s="736">
        <f>IF(ISNUMBER(STDEV(AN8:AN18)),STDEV(AN8:AN18),"-")</f>
        <v>0</v>
      </c>
      <c r="AO21" s="742">
        <f>IF(ISNUMBER(STDEV(AO8:AO18)),STDEV(AO8:AO18),"-")</f>
        <v>0</v>
      </c>
      <c r="AP21" s="779">
        <f>IF(ISNUMBER(STDEV(AP8:AP18)),STDEV(AP8:AP18),"-")</f>
        <v>4.9817733769817369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qkT9gZP6P4Tywgdc+6XCcTOUHJCHbSByou0PTjekd/jC09eeINOUQd51wLb9yZWOaWpZOZO31zhFxcSqQRXgQ==" saltValue="DoL7N2Yx1LFDPuHgqAo0R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LALIN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R8RLu2PJy7MvEubeCt2i1Wk/k/vPIonNKnZ0qTqA7S4DcHkaRYkxdOT1VEdBw0ra/xSFNJGzeirqI5dnjPHejw==" saltValue="zXJwySzN/3vTl8+56ZxB0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LALIN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132</v>
      </c>
      <c r="E12" s="404">
        <f t="shared" si="0"/>
        <v>66</v>
      </c>
      <c r="F12" s="403">
        <f>IF(ISNUMBER(Datos!N12),Datos!N12," - ")</f>
        <v>235</v>
      </c>
      <c r="G12" s="404">
        <f t="shared" si="1"/>
        <v>117.5</v>
      </c>
      <c r="H12" s="403">
        <f>IF(ISNUMBER(Datos!O12),Datos!O12," - ")</f>
        <v>309</v>
      </c>
      <c r="I12" s="404">
        <f t="shared" si="2"/>
        <v>154.5</v>
      </c>
      <c r="BZ12" s="1186">
        <f>Datos!EZ12</f>
        <v>0</v>
      </c>
    </row>
    <row r="13" spans="1:78" ht="14.25" thickTop="1" thickBot="1">
      <c r="A13" s="848" t="str">
        <f>Datos!A13</f>
        <v>TOTAL</v>
      </c>
      <c r="B13" s="849">
        <f>Datos!AP13</f>
        <v>2</v>
      </c>
      <c r="C13" s="851">
        <f>Datos!AR13</f>
        <v>2</v>
      </c>
      <c r="D13" s="849">
        <f>SUBTOTAL(9,D9:D12)</f>
        <v>133</v>
      </c>
      <c r="E13" s="850">
        <f t="shared" si="0"/>
        <v>66.5</v>
      </c>
      <c r="F13" s="849">
        <f>SUBTOTAL(9,F9:F12)</f>
        <v>235</v>
      </c>
      <c r="G13" s="850">
        <f t="shared" si="1"/>
        <v>117.5</v>
      </c>
      <c r="H13" s="849">
        <f>SUBTOTAL(9,H9:H12)</f>
        <v>309</v>
      </c>
      <c r="I13" s="850">
        <f>IF(ISNUMBER(H13/B13),H13/B13," - ")</f>
        <v>154.5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39</v>
      </c>
      <c r="E16" s="404">
        <f t="shared" si="3"/>
        <v>19.5</v>
      </c>
      <c r="F16" s="403">
        <f>IF(ISNUMBER(Datos!N16),Datos!N16," - ")</f>
        <v>75</v>
      </c>
      <c r="G16" s="404">
        <f t="shared" si="4"/>
        <v>37.5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41</v>
      </c>
      <c r="E18" s="850">
        <f t="shared" si="3"/>
        <v>20.5</v>
      </c>
      <c r="F18" s="849">
        <f>SUBTOTAL(9,F15:F17)</f>
        <v>87</v>
      </c>
      <c r="G18" s="850">
        <f t="shared" si="4"/>
        <v>43.5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174</v>
      </c>
      <c r="E19" s="795">
        <f>IF(ISNUMBER(D19/B19),D19/B19," - ")</f>
        <v>87</v>
      </c>
      <c r="F19" s="794">
        <f>SUBTOTAL(9,F8:F18)</f>
        <v>322</v>
      </c>
      <c r="G19" s="795">
        <f>IF(ISNUMBER(F19/B19),F19/B19," - ")</f>
        <v>161</v>
      </c>
      <c r="H19" s="794">
        <f>SUBTOTAL(9,H8:H18)</f>
        <v>311</v>
      </c>
      <c r="I19" s="795">
        <f>IF(ISNUMBER(H19/B19),H19/B19," - ")</f>
        <v>155.5</v>
      </c>
    </row>
    <row r="22" spans="1:78">
      <c r="A22" s="391" t="str">
        <f>Criterios!A4</f>
        <v>Fecha Informe: 03 jun. 2025</v>
      </c>
    </row>
    <row r="27" spans="1:78">
      <c r="A27" s="414"/>
    </row>
  </sheetData>
  <sheetProtection algorithmName="SHA-512" hashValue="1X2zSjsmZoQKdSyPyCoN6noaFX3/U9UAFnxSTXgpnzzh7GUpIKBywA+bklsIwYWYmu79llNG7V36EgSzHpF1Tg==" saltValue="1nLqMl0wkxYnNdROfQmr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LALIN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198</v>
      </c>
      <c r="C12" s="434">
        <f>IF(ISNUMBER(Datos!Q12),Datos!Q12," - ")</f>
        <v>92</v>
      </c>
      <c r="D12" s="408">
        <f>IF(ISNUMBER(Datos!R12),Datos!R12," - ")</f>
        <v>1610</v>
      </c>
    </row>
    <row r="13" spans="1:4" ht="14.25" thickTop="1" thickBot="1">
      <c r="A13" s="848" t="str">
        <f>Datos!A13</f>
        <v>TOTAL</v>
      </c>
      <c r="B13" s="849">
        <f>SUBTOTAL(9,B9:B12)</f>
        <v>198</v>
      </c>
      <c r="C13" s="853">
        <f>SUBTOTAL(9,C9:C12)</f>
        <v>92</v>
      </c>
      <c r="D13" s="851">
        <f>SUBTOTAL(9,D9:D12)</f>
        <v>1610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9</v>
      </c>
      <c r="D16" s="408">
        <f>IF(ISNUMBER(Datos!R16),Datos!R16," - ")</f>
        <v>54</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14</v>
      </c>
      <c r="C18" s="853">
        <f>SUBTOTAL(9,C15:C17)</f>
        <v>9</v>
      </c>
      <c r="D18" s="851">
        <f>SUBTOTAL(9,D15:D17)</f>
        <v>55</v>
      </c>
    </row>
    <row r="19" spans="1:4" ht="16.5" customHeight="1" thickTop="1" thickBot="1">
      <c r="A19" s="793" t="str">
        <f>Datos!A19</f>
        <v>TOTAL JURISDICCIONES</v>
      </c>
      <c r="B19" s="798">
        <f>SUBTOTAL(9,B8:B18)</f>
        <v>212</v>
      </c>
      <c r="C19" s="799">
        <f>SUBTOTAL(9,C8:C18)</f>
        <v>101</v>
      </c>
      <c r="D19" s="800">
        <f>SUBTOTAL(9,D8:D18)</f>
        <v>1665</v>
      </c>
    </row>
    <row r="20" spans="1:4" ht="7.5" customHeight="1"/>
    <row r="21" spans="1:4" ht="6" customHeight="1"/>
    <row r="22" spans="1:4">
      <c r="A22" s="391" t="str">
        <f>Criterios!A4</f>
        <v>Fecha Informe: 03 jun. 2025</v>
      </c>
    </row>
    <row r="27" spans="1:4">
      <c r="A27" s="414"/>
    </row>
  </sheetData>
  <sheetProtection algorithmName="SHA-512" hashValue="ilblLQwld8/ujZMmtRcfpGGDAJOwqzzjIYmEerbY7N/+9RbL2U/sAobPeSK96vCovJVA0h+zfb7vFNwBVRMaew==" saltValue="rSyDmOGUT6lXrT1b9RLn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LALIN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t="str">
        <f>IF(ISNUMBER((Datos!K10-Datos!U10)/Datos!U10),(Datos!K10-Datos!U10)/Datos!U10," - ")</f>
        <v xml:space="preserve"> - </v>
      </c>
      <c r="E10" s="456">
        <f>IF(ISNUMBER((Datos!L10-Datos!V10)/Datos!V10),(Datos!L10-Datos!V10)/Datos!V10," - ")</f>
        <v>-0.16666666666666666</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0.15700141442715701</v>
      </c>
      <c r="C12" s="456">
        <f>IF(ISNUMBER(
   IF(J_V="SI",(Datos!J12-Datos!T12)/Datos!T12,(Datos!J12+Datos!Z12-(Datos!T12+Datos!AH12))/(Datos!T12+Datos!AH12))
     ),IF(J_V="SI",(Datos!J12-Datos!T12)/Datos!T12,(Datos!J12+Datos!Z12-(Datos!T12+Datos!AH12))/(Datos!T12+Datos!AH12))," - ")</f>
        <v>0.23344370860927152</v>
      </c>
      <c r="D12" s="456">
        <f>IF(ISNUMBER(
   IF(J_V="SI",(Datos!K12-Datos!U12)/Datos!U12,(Datos!K12+Datos!AA12-(Datos!U12+Datos!AI12))/(Datos!U12+Datos!AI12))
     ),IF(J_V="SI",(Datos!K12-Datos!U12)/Datos!U12,(Datos!K12+Datos!AA12-(Datos!U12+Datos!AI12))/(Datos!U12+Datos!AI12))," - ")</f>
        <v>0.16938775510204082</v>
      </c>
      <c r="E12" s="456">
        <f>IF(ISNUMBER(
   IF(J_V="SI",(Datos!L12-Datos!V12)/Datos!V12,(Datos!L12+Datos!AB12-(Datos!V12+Datos!AJ12))/(Datos!V12+Datos!AJ12))
     ),IF(J_V="SI",(Datos!L12-Datos!V12)/Datos!V12,(Datos!L12+Datos!AB12-(Datos!V12+Datos!AJ12))/(Datos!V12+Datos!AJ12))," - ")</f>
        <v>9.0308370044052858E-2</v>
      </c>
      <c r="F12" s="456">
        <f>IF(ISNUMBER((Datos!M12-Datos!W12)/Datos!W12),(Datos!M12-Datos!W12)/Datos!W12," - ")</f>
        <v>3.125E-2</v>
      </c>
      <c r="G12" s="457">
        <f>IF(ISNUMBER((Datos!N12-Datos!X12)/Datos!X12),(Datos!N12-Datos!X12)/Datos!X12," - ")</f>
        <v>0.85039370078740162</v>
      </c>
      <c r="H12" s="455">
        <f>IF(ISNUMBER(((NºAsuntos!G12/NºAsuntos!E12)-Datos!BD12)/Datos!BD12),((NºAsuntos!G12/NºAsuntos!E12)-Datos!BD12)/Datos!BD12," - ")</f>
        <v>-5.1932611970962869E-2</v>
      </c>
      <c r="I12" s="456">
        <f>IF(ISNUMBER(((NºAsuntos!I12/NºAsuntos!G12)-Datos!BE12)/Datos!BE12),((NºAsuntos!I12/NºAsuntos!G12)-Datos!BE12)/Datos!BE12," - ")</f>
        <v>-6.7624605023410334E-2</v>
      </c>
      <c r="J12" s="461">
        <f>IF(ISNUMBER((('Resol  Asuntos'!D12/NºAsuntos!G12)-Datos!BF12)/Datos!BF12),(('Resol  Asuntos'!D12/NºAsuntos!G12)-Datos!BF12)/Datos!BF12," - ")</f>
        <v>-0.11118440037927199</v>
      </c>
      <c r="K12" s="462">
        <f>IF(ISNUMBER((((NºAsuntos!C12+NºAsuntos!E12)/NºAsuntos!G12)-Datos!BG12)/Datos!BG12),(((NºAsuntos!C12+NºAsuntos!E12)/NºAsuntos!G12)-Datos!BG12)/Datos!BG12," - ")</f>
        <v>1.9524682409415319E-2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0.15589887640449437</v>
      </c>
      <c r="C13" s="855">
        <f>IF(ISNUMBER(
   IF(J_V="SI",(Datos!J13-Datos!T13)/Datos!T13,(Datos!J13+Datos!Z13-(Datos!T13+Datos!AH13))/(Datos!T13+Datos!AH13))
     ),IF(J_V="SI",(Datos!J13-Datos!T13)/Datos!T13,(Datos!J13+Datos!Z13-(Datos!T13+Datos!AH13))/(Datos!T13+Datos!AH13))," - ")</f>
        <v>0.23305785123966943</v>
      </c>
      <c r="D13" s="855">
        <f>IF(ISNUMBER(
   IF(J_V="SI",(Datos!K13-Datos!U13)/Datos!U13,(Datos!K13+Datos!AA13-(Datos!U13+Datos!AI13))/(Datos!U13+Datos!AI13))
     ),IF(J_V="SI",(Datos!K13-Datos!U13)/Datos!U13,(Datos!K13+Datos!AA13-(Datos!U13+Datos!AI13))/(Datos!U13+Datos!AI13))," - ")</f>
        <v>0.17142857142857143</v>
      </c>
      <c r="E13" s="855">
        <f>IF(ISNUMBER(
   IF(J_V="SI",(Datos!L13-Datos!V13)/Datos!V13,(Datos!L13+Datos!AB13-(Datos!V13+Datos!AJ13))/(Datos!V13+Datos!AJ13))
     ),IF(J_V="SI",(Datos!L13-Datos!V13)/Datos!V13,(Datos!L13+Datos!AB13-(Datos!V13+Datos!AJ13))/(Datos!V13+Datos!AJ13))," - ")</f>
        <v>8.8621444201312904E-2</v>
      </c>
      <c r="F13" s="856">
        <f>IF(ISNUMBER((Datos!M13-Datos!W13)/Datos!W13),(Datos!M13-Datos!W13)/Datos!W13," - ")</f>
        <v>3.90625E-2</v>
      </c>
      <c r="G13" s="857">
        <f>IF(ISNUMBER((Datos!N13-Datos!X13)/Datos!X13),(Datos!N13-Datos!X13)/Datos!X13," - ")</f>
        <v>0.85039370078740162</v>
      </c>
      <c r="H13" s="857">
        <f>IF(ISNUMBER(((NºAsuntos!G13/NºAsuntos!E13)-Datos!BD13)/Datos!BD13),((NºAsuntos!G13/NºAsuntos!E13)-Datos!BD13)/Datos!BD13," - ")</f>
        <v>-4.998085024894678E-2</v>
      </c>
      <c r="I13" s="857">
        <f>IF(ISNUMBER(((NºAsuntos!I13/NºAsuntos!G13)-Datos!BE13)/Datos!BE13),((NºAsuntos!I13/NºAsuntos!G13)-Datos!BE13)/Datos!BE13," - ")</f>
        <v>-7.0689011047659636E-2</v>
      </c>
      <c r="J13" s="857">
        <f>IF(ISNUMBER((('Resol  Asuntos'!D13/NºAsuntos!G13)-Datos!BF13)/Datos!BF13),(('Resol  Asuntos'!D13/NºAsuntos!G13)-Datos!BF13)/Datos!BF13," - ")</f>
        <v>-0.10601113885154595</v>
      </c>
      <c r="K13" s="857">
        <f>IF(ISNUMBER((((NºAsuntos!C13+NºAsuntos!E13)/NºAsuntos!G13)-Datos!BG13)/Datos!BG13),(((NºAsuntos!C13+NºAsuntos!E13)/NºAsuntos!G13)-Datos!BG13)/Datos!BG13," - ")</f>
        <v>1.7000944496916515E-2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0.22222222222222221</v>
      </c>
      <c r="C16" s="456">
        <f>IF(ISNUMBER(
   IF(D_I="SI",(Datos!J16-Datos!T16)/Datos!T16,(Datos!J16+Datos!AD16-(Datos!T16+Datos!AL16))/(Datos!T16+Datos!AL16))
     ),IF(D_I="SI",(Datos!J16-Datos!T16)/Datos!T16,(Datos!J16+Datos!AD16-(Datos!T16+Datos!AL16))/(Datos!T16+Datos!AL16))," - ")</f>
        <v>-0.23737373737373738</v>
      </c>
      <c r="D16" s="456">
        <f>IF(ISNUMBER(
   IF(D_I="SI",(Datos!K16-Datos!U16)/Datos!U16,(Datos!K16+Datos!AE16-(Datos!U16+Datos!AM16))/(Datos!U16+Datos!AM16))
     ),IF(D_I="SI",(Datos!K16-Datos!U16)/Datos!U16,(Datos!K16+Datos!AE16-(Datos!U16+Datos!AM16))/(Datos!U16+Datos!AM16))," - ")</f>
        <v>-0.19306930693069307</v>
      </c>
      <c r="E16" s="456">
        <f>IF(ISNUMBER(
   IF(D_I="SI",(Datos!L16-Datos!V16)/Datos!V16,(Datos!L16+Datos!AF16-(Datos!V16+Datos!AN16))/(Datos!V16+Datos!AN16))
     ),IF(D_I="SI",(Datos!L16-Datos!V16)/Datos!V16,(Datos!L16+Datos!AF16-(Datos!V16+Datos!AN16))/(Datos!V16+Datos!AN16))," - ")</f>
        <v>0.18719211822660098</v>
      </c>
      <c r="F16" s="456">
        <f>IF(ISNUMBER((Datos!M16-Datos!W16)/Datos!W16),(Datos!M16-Datos!W16)/Datos!W16," - ")</f>
        <v>-2.5000000000000001E-2</v>
      </c>
      <c r="G16" s="457">
        <f>IF(ISNUMBER((Datos!N16-Datos!X16)/Datos!X16),(Datos!N16-Datos!X16)/Datos!X16," - ")</f>
        <v>-0.22680412371134021</v>
      </c>
      <c r="H16" s="455">
        <f>IF(ISNUMBER(((NºAsuntos!G16/NºAsuntos!E16)-Datos!BD16)/Datos!BD16),((NºAsuntos!G16/NºAsuntos!E16)-Datos!BD16)/Datos!BD16," - ")</f>
        <v>5.8094551176972056E-2</v>
      </c>
      <c r="I16" s="456">
        <f>IF(ISNUMBER(((NºAsuntos!I16/NºAsuntos!G16)-Datos!BE16)/Datos!BE16),((NºAsuntos!I16/NºAsuntos!G16)-Datos!BE16)/Datos!BE16," - ")</f>
        <v>0.47124422013357903</v>
      </c>
      <c r="J16" s="461">
        <f>IF(ISNUMBER((('Resol  Asuntos'!D16/NºAsuntos!G16)-Datos!BF16)/Datos!BF16),(('Resol  Asuntos'!D16/NºAsuntos!G16)-Datos!BF16)/Datos!BF16," - ")</f>
        <v>0.20828220858895702</v>
      </c>
      <c r="K16" s="462">
        <f>IF(ISNUMBER((((NºAsuntos!C16+NºAsuntos!E16)/NºAsuntos!G16)-Datos!BG16)/Datos!BG16),(((NºAsuntos!C16+NºAsuntos!E16)/NºAsuntos!G16)-Datos!BG16)/Datos!BG16," - ")</f>
        <v>0.23620389305460876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1.5454545454545454</v>
      </c>
      <c r="C17" s="456">
        <f>IF(ISNUMBER(
   IF(D_I="SI",(Datos!J17-Datos!T17)/Datos!T17,(Datos!J17+Datos!AD17-(Datos!T17+Datos!AL17))/(Datos!T17+Datos!AL17))
     ),IF(D_I="SI",(Datos!J17-Datos!T17)/Datos!T17,(Datos!J17+Datos!AD17-(Datos!T17+Datos!AL17))/(Datos!T17+Datos!AL17))," - ")</f>
        <v>-0.24</v>
      </c>
      <c r="D17" s="456">
        <f>IF(ISNUMBER(
   IF(D_I="SI",(Datos!K17-Datos!U17)/Datos!U17,(Datos!K17+Datos!AE17-(Datos!U17+Datos!AM17))/(Datos!U17+Datos!AM17))
     ),IF(D_I="SI",(Datos!K17-Datos!U17)/Datos!U17,(Datos!K17+Datos!AE17-(Datos!U17+Datos!AM17))/(Datos!U17+Datos!AM17))," - ")</f>
        <v>0.17647058823529413</v>
      </c>
      <c r="E17" s="456">
        <f>IF(ISNUMBER(
   IF(D_I="SI",(Datos!L17-Datos!V17)/Datos!V17,(Datos!L17+Datos!AF17-(Datos!V17+Datos!AN17))/(Datos!V17+Datos!AN17))
     ),IF(D_I="SI",(Datos!L17-Datos!V17)/Datos!V17,(Datos!L17+Datos!AF17-(Datos!V17+Datos!AN17))/(Datos!V17+Datos!AN17))," - ")</f>
        <v>0.42105263157894735</v>
      </c>
      <c r="F17" s="456">
        <f>IF(ISNUMBER((Datos!M17-Datos!W17)/Datos!W17),(Datos!M17-Datos!W17)/Datos!W17," - ")</f>
        <v>1</v>
      </c>
      <c r="G17" s="457">
        <f>IF(ISNUMBER((Datos!N17-Datos!X17)/Datos!X17),(Datos!N17-Datos!X17)/Datos!X17," - ")</f>
        <v>-0.29411764705882354</v>
      </c>
      <c r="H17" s="455">
        <f>IF(ISNUMBER(((NºAsuntos!G17/NºAsuntos!E17)-Datos!BD17)/Datos!BD17),((NºAsuntos!G17/NºAsuntos!E17)-Datos!BD17)/Datos!BD17," - ")</f>
        <v>0.54798761609907098</v>
      </c>
      <c r="I17" s="456">
        <f>IF(ISNUMBER(((NºAsuntos!I17/NºAsuntos!G17)-Datos!BE17)/Datos!BE17),((NºAsuntos!I17/NºAsuntos!G17)-Datos!BE17)/Datos!BE17," - ")</f>
        <v>0.20789473684210533</v>
      </c>
      <c r="J17" s="461">
        <f>IF(ISNUMBER((('Resol  Asuntos'!D17/NºAsuntos!G17)-Datos!BF17)/Datos!BF17),(('Resol  Asuntos'!D17/NºAsuntos!G17)-Datos!BF17)/Datos!BF17," - ")</f>
        <v>0.70000000000000007</v>
      </c>
      <c r="K17" s="462">
        <f>IF(ISNUMBER((((NºAsuntos!C17+NºAsuntos!E17)/NºAsuntos!G17)-Datos!BG17)/Datos!BG17),(((NºAsuntos!C17+NºAsuntos!E17)/NºAsuntos!G17)-Datos!BG17)/Datos!BG17," - ")</f>
        <v>0.10972222222222225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0.28899082568807338</v>
      </c>
      <c r="C18" s="855">
        <f>IF(ISNUMBER(
   IF(Criterios!B14="SI",(Datos!J18-Datos!T18)/Datos!T18,(Datos!J18+Datos!AD18-(Datos!T18+Datos!AL18))/(Datos!T18+Datos!AL18))
     ),IF(Criterios!B14="SI",(Datos!J18-Datos!T18)/Datos!T18,(Datos!J18+Datos!AD18-(Datos!T18+Datos!AL18))/(Datos!T18+Datos!AL18))," - ")</f>
        <v>-0.23766816143497757</v>
      </c>
      <c r="D18" s="855">
        <f>IF(ISNUMBER(
   IF(Criterios!B14="SI",(Datos!K18-Datos!U18)/Datos!U18,(Datos!K18+Datos!AE18-(Datos!U18+Datos!AM18))/(Datos!U18+Datos!AM18))
     ),IF(Criterios!B14="SI",(Datos!K18-Datos!U18)/Datos!U18,(Datos!K18+Datos!AE18-(Datos!U18+Datos!AM18))/(Datos!U18+Datos!AM18))," - ")</f>
        <v>-0.16438356164383561</v>
      </c>
      <c r="E18" s="855">
        <f>IF(ISNUMBER(
   IF(Criterios!B14="SI",(Datos!L18-Datos!V18)/Datos!V18,(Datos!L18+Datos!AF18-(Datos!V18+Datos!AN18))/(Datos!V18+Datos!AN18))
     ),IF(Criterios!B14="SI",(Datos!L18-Datos!V18)/Datos!V18,(Datos!L18+Datos!AF18-(Datos!V18+Datos!AN18))/(Datos!V18+Datos!AN18))," - ")</f>
        <v>0.2072072072072072</v>
      </c>
      <c r="F18" s="856">
        <f>IF(ISNUMBER((Datos!M18-Datos!W18)/Datos!W18),(Datos!M18-Datos!W18)/Datos!W18," - ")</f>
        <v>0</v>
      </c>
      <c r="G18" s="857">
        <f>IF(ISNUMBER((Datos!N18-Datos!X18)/Datos!X18),(Datos!N18-Datos!X18)/Datos!X18," - ")</f>
        <v>-0.23684210526315788</v>
      </c>
      <c r="H18" s="857">
        <f>IF(ISNUMBER(((NºAsuntos!G18/NºAsuntos!E18)-Datos!BD18)/Datos!BD18),((NºAsuntos!G18/NºAsuntos!E18)-Datos!BD18)/Datos!BD18," - ")</f>
        <v>9.6132151490733286E-2</v>
      </c>
      <c r="I18" s="857">
        <f>IF(ISNUMBER(((NºAsuntos!I18/NºAsuntos!G18)-Datos!BE18)/Datos!BE18),((NºAsuntos!I18/NºAsuntos!G18)-Datos!BE18)/Datos!BE18," - ")</f>
        <v>0.44469059223157581</v>
      </c>
      <c r="J18" s="857">
        <f>IF(ISNUMBER((('Resol  Asuntos'!D18/NºAsuntos!G18)-Datos!BF18)/Datos!BF18),(('Resol  Asuntos'!D18/NºAsuntos!G18)-Datos!BF18)/Datos!BF18," - ")</f>
        <v>0.19672131147540989</v>
      </c>
      <c r="K18" s="857">
        <f>IF(ISNUMBER((((NºAsuntos!C18+NºAsuntos!E18)/NºAsuntos!G18)-Datos!BG18)/Datos!BG18),(((NºAsuntos!C18+NºAsuntos!E18)/NºAsuntos!G18)-Datos!BG18)/Datos!BG18," - ")</f>
        <v>0.22385784915058909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0.18709677419354839</v>
      </c>
      <c r="C19" s="802">
        <f>IF(ISNUMBER(
   IF(J_V="SI",(Datos!J19-Datos!T19)/Datos!T19,(Datos!J19+Datos!Z19-(Datos!T19+Datos!AH19))/(Datos!T19+Datos!AH19))
     ),IF(J_V="SI",(Datos!J19-Datos!T19)/Datos!T19,(Datos!J19+Datos!Z19-(Datos!T19+Datos!AH19))/(Datos!T19+Datos!AH19))," - ")</f>
        <v>0.10628019323671498</v>
      </c>
      <c r="D19" s="802">
        <f>IF(ISNUMBER(
   IF(J_V="SI",(Datos!K19-Datos!U19)/Datos!U19,(Datos!K19+Datos!AA19-(Datos!U19+Datos!AI19))/(Datos!U19+Datos!AI19))
     ),IF(J_V="SI",(Datos!K19-Datos!U19)/Datos!U19,(Datos!K19+Datos!AA19-(Datos!U19+Datos!AI19))/(Datos!U19+Datos!AI19))," - ")</f>
        <v>6.7700987306064886E-2</v>
      </c>
      <c r="E19" s="802">
        <f>IF(ISNUMBER(
   IF(J_V="SI",(Datos!L19-Datos!V19)/Datos!V19,(Datos!L19+Datos!AB19-(Datos!V19+Datos!AJ19))/(Datos!V19+Datos!AJ19))
     ),IF(J_V="SI",(Datos!L19-Datos!V19)/Datos!V19,(Datos!L19+Datos!AB19-(Datos!V19+Datos!AJ19))/(Datos!V19+Datos!AJ19))," - ")</f>
        <v>0.11179577464788733</v>
      </c>
      <c r="F19" s="803">
        <f>IF(ISNUMBER((Datos!M19-Datos!W19)/Datos!W19),(Datos!M19-Datos!W19)/Datos!W19," - ")</f>
        <v>2.9585798816568046E-2</v>
      </c>
      <c r="G19" s="804">
        <f>IF(ISNUMBER((Datos!N19-Datos!X19)/Datos!X19),(Datos!N19-Datos!X19)/Datos!X19," - ")</f>
        <v>0.33609958506224069</v>
      </c>
      <c r="H19" s="805">
        <f>IF(ISNUMBER((Tasas!B19-Datos!BD19)/Datos!BD19),(Tasas!B19-Datos!BD19)/Datos!BD19," - ")</f>
        <v>-3.4872906670937003E-2</v>
      </c>
      <c r="I19" s="806">
        <f>IF(ISNUMBER((Tasas!C19-Datos!BE19)/Datos!BE19),(Tasas!C19-Datos!BE19)/Datos!BE19," - ")</f>
        <v>4.1298816678140247E-2</v>
      </c>
      <c r="J19" s="807">
        <f>IF(ISNUMBER((Tasas!D19-Datos!BF19)/Datos!BF19),(Tasas!D19-Datos!BF19)/Datos!BF19," - ")</f>
        <v>-2.9958482732591069E-2</v>
      </c>
      <c r="K19" s="807">
        <f>IF(ISNUMBER((Tasas!E19-Datos!BG19)/Datos!BG19),(Tasas!E19-Datos!BG19)/Datos!BG19," - ")</f>
        <v>7.6174889503052998E-2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udb/vxwfboMBeodloOja7W9W3laQjjkOwbE8ldDYxzHNpqFTrLYkF+IfMZP2dJNbJrY+VDInY8s3H6RogFTUA==" saltValue="6zev+fz5wt40i4cJdNgp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LALIN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0.76912751677852353</v>
      </c>
      <c r="C12" s="443">
        <f>IF(ISNUMBER(NºAsuntos!I12/NºAsuntos!G12),NºAsuntos!I12/NºAsuntos!G12," - ")</f>
        <v>1.7277486910994764</v>
      </c>
      <c r="D12" s="444">
        <f>IF(ISNUMBER('Resol  Asuntos'!D12/NºAsuntos!G12),'Resol  Asuntos'!D12/NºAsuntos!G12," - ")</f>
        <v>0.23036649214659685</v>
      </c>
      <c r="E12" s="445">
        <f>IF(ISNUMBER((NºAsuntos!C12+NºAsuntos!E12)/NºAsuntos!G12),(NºAsuntos!C12+NºAsuntos!E12)/NºAsuntos!G12," - ")</f>
        <v>2.7277486910994764</v>
      </c>
      <c r="G12" s="463"/>
    </row>
    <row r="13" spans="1:7" ht="14.25" thickTop="1" thickBot="1">
      <c r="A13" s="848" t="str">
        <f>Datos!A13</f>
        <v>TOTAL</v>
      </c>
      <c r="B13" s="858">
        <f>IF(ISNUMBER(NºAsuntos!G13/NºAsuntos!E13),NºAsuntos!G13/NºAsuntos!E13," - ")</f>
        <v>0.76943699731903481</v>
      </c>
      <c r="C13" s="859">
        <f>IF(ISNUMBER(NºAsuntos!I13/NºAsuntos!G13),NºAsuntos!I13/NºAsuntos!G13," - ")</f>
        <v>1.7334494773519165</v>
      </c>
      <c r="D13" s="860">
        <f>IF(ISNUMBER('Resol  Asuntos'!D13/NºAsuntos!G13),'Resol  Asuntos'!D13/NºAsuntos!G13," - ")</f>
        <v>0.23170731707317074</v>
      </c>
      <c r="E13" s="861">
        <f>IF(ISNUMBER((NºAsuntos!C13+NºAsuntos!E13)/NºAsuntos!G13),(NºAsuntos!C13+NºAsuntos!E13)/NºAsuntos!G13," - ")</f>
        <v>2.7334494773519165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1.0794701986754967</v>
      </c>
      <c r="C16" s="443">
        <f>IF(ISNUMBER(NºAsuntos!I16/NºAsuntos!G16),NºAsuntos!I16/NºAsuntos!G16," - ")</f>
        <v>1.4785276073619631</v>
      </c>
      <c r="D16" s="444">
        <f>IF(ISNUMBER('Resol  Asuntos'!D16/NºAsuntos!G16),'Resol  Asuntos'!D16/NºAsuntos!G16," - ")</f>
        <v>0.2392638036809816</v>
      </c>
      <c r="E16" s="445">
        <f>IF(ISNUMBER((NºAsuntos!C16+NºAsuntos!E16)/NºAsuntos!G16),(NºAsuntos!C16+NºAsuntos!E16)/NºAsuntos!G16," - ")</f>
        <v>2.4785276073619631</v>
      </c>
      <c r="G16" s="463"/>
    </row>
    <row r="17" spans="1:7" ht="13.5" thickBot="1">
      <c r="A17" s="402" t="str">
        <f>Datos!A17</f>
        <v>Jdos. Violencia contra la mujer</v>
      </c>
      <c r="B17" s="442">
        <f>IF(ISNUMBER(NºAsuntos!G17/NºAsuntos!E17),NºAsuntos!G17/NºAsuntos!E17," - ")</f>
        <v>1.0526315789473684</v>
      </c>
      <c r="C17" s="443">
        <f>IF(ISNUMBER(NºAsuntos!I17/NºAsuntos!G17),NºAsuntos!I17/NºAsuntos!G17," - ")</f>
        <v>1.35</v>
      </c>
      <c r="D17" s="444">
        <f>IF(ISNUMBER('Resol  Asuntos'!D17/NºAsuntos!G17),'Resol  Asuntos'!D17/NºAsuntos!G17," - ")</f>
        <v>0.1</v>
      </c>
      <c r="E17" s="445">
        <f>IF(ISNUMBER((NºAsuntos!C17+NºAsuntos!E17)/NºAsuntos!G17),(NºAsuntos!C17+NºAsuntos!E17)/NºAsuntos!G17," - ")</f>
        <v>2.35</v>
      </c>
      <c r="G17" s="463"/>
    </row>
    <row r="18" spans="1:7" ht="14.25" thickTop="1" thickBot="1">
      <c r="A18" s="848" t="str">
        <f>Datos!A18</f>
        <v>TOTAL</v>
      </c>
      <c r="B18" s="858">
        <f>IF(ISNUMBER(NºAsuntos!G18/NºAsuntos!E18),NºAsuntos!G18/NºAsuntos!E18," - ")</f>
        <v>1.0764705882352941</v>
      </c>
      <c r="C18" s="859">
        <f>IF(ISNUMBER(NºAsuntos!I18/NºAsuntos!G18),NºAsuntos!I18/NºAsuntos!G18," - ")</f>
        <v>1.46448087431694</v>
      </c>
      <c r="D18" s="862">
        <f>IF(ISNUMBER('Resol  Asuntos'!D18/NºAsuntos!G18),'Resol  Asuntos'!D18/NºAsuntos!G18," - ")</f>
        <v>0.22404371584699453</v>
      </c>
      <c r="E18" s="861">
        <f>IF(ISNUMBER((NºAsuntos!C18+NºAsuntos!E18)/NºAsuntos!G18),(NºAsuntos!C18+NºAsuntos!E18)/NºAsuntos!G18," - ")</f>
        <v>2.4644808743169397</v>
      </c>
      <c r="G18" s="463"/>
    </row>
    <row r="19" spans="1:7" ht="15.75" customHeight="1" thickTop="1" thickBot="1">
      <c r="A19" s="793" t="str">
        <f>Datos!A19</f>
        <v>TOTAL JURISDICCIONES</v>
      </c>
      <c r="B19" s="808">
        <f>IF(ISNUMBER(NºAsuntos!G19/NºAsuntos!E19),NºAsuntos!G19/NºAsuntos!E19," - ")</f>
        <v>0.82641921397379914</v>
      </c>
      <c r="C19" s="809">
        <f>IF(ISNUMBER(NºAsuntos!I19/NºAsuntos!G19),NºAsuntos!I19/NºAsuntos!G19," - ")</f>
        <v>1.6684280052840159</v>
      </c>
      <c r="D19" s="810">
        <f>IF(ISNUMBER('Resol  Asuntos'!D19/NºAsuntos!G19),'Resol  Asuntos'!D19/NºAsuntos!G19," - ")</f>
        <v>0.22985468956406868</v>
      </c>
      <c r="E19" s="811">
        <f>IF(ISNUMBER((NºAsuntos!C19+NºAsuntos!E19)/NºAsuntos!G19),(NºAsuntos!C19+NºAsuntos!E19)/NºAsuntos!G19," - ")</f>
        <v>2.6684280052840159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Kf4VhX1WzWC880ahCxPoJ0fAfIRGEWB8ekZLgtTyTrVkF1xo14G5N+WJ+/BRlayoMSGACdiJOPMMkSJ+XjpSQ==" saltValue="b7kytovEj4Z6ElH4bdMJ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LALIN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92</v>
      </c>
      <c r="Y12" s="334">
        <f t="shared" si="0"/>
        <v>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132</v>
      </c>
      <c r="AJ12" s="229" t="str">
        <f>IF(ISNUMBER(Datos!BW12),Datos!BW12," - ")</f>
        <v xml:space="preserve"> - </v>
      </c>
      <c r="AK12" s="228" t="str">
        <f>IF(ISNUMBER(Datos!BX12),Datos!BX12," - ")</f>
        <v xml:space="preserve"> - </v>
      </c>
      <c r="AL12" s="243">
        <f>IF(ISNUMBER(NºAsuntos!G12/NºAsuntos!E12),NºAsuntos!G12/NºAsuntos!E12," - ")</f>
        <v>0.76912751677852353</v>
      </c>
      <c r="AM12" s="260">
        <f>IF(ISNUMBER(((NºAsuntos!I12/NºAsuntos!G12)*11)/factor_trimestre),((NºAsuntos!I12/NºAsuntos!G12)*11)/factor_trimestre," - ")</f>
        <v>5.1832460732984291</v>
      </c>
      <c r="AN12" s="244">
        <f>IF(ISNUMBER('Resol  Asuntos'!D12/NºAsuntos!G12),'Resol  Asuntos'!D12/NºAsuntos!G12," - ")</f>
        <v>0.23036649214659685</v>
      </c>
      <c r="AO12" s="245">
        <f>IF(ISNUMBER((NºAsuntos!C12+NºAsuntos!E12)/NºAsuntos!G12),(NºAsuntos!C12+NºAsuntos!E12)/NºAsuntos!G12," - ")</f>
        <v>2.7277486910994764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198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92</v>
      </c>
      <c r="Y13" s="868">
        <f t="shared" si="4"/>
        <v>93</v>
      </c>
      <c r="Z13" s="868">
        <f t="shared" si="4"/>
        <v>0</v>
      </c>
      <c r="AA13" s="868">
        <f t="shared" si="4"/>
        <v>5</v>
      </c>
      <c r="AB13" s="868">
        <f t="shared" si="4"/>
        <v>1610</v>
      </c>
      <c r="AC13" s="868">
        <f t="shared" si="4"/>
        <v>5</v>
      </c>
      <c r="AD13" s="868">
        <f t="shared" si="4"/>
        <v>0</v>
      </c>
      <c r="AE13" s="872">
        <f t="shared" si="4"/>
        <v>0</v>
      </c>
      <c r="AF13" s="865">
        <f t="shared" si="4"/>
        <v>0</v>
      </c>
      <c r="AG13" s="873">
        <f t="shared" si="4"/>
        <v>0</v>
      </c>
      <c r="AH13" s="870">
        <f t="shared" si="4"/>
        <v>0</v>
      </c>
      <c r="AI13" s="865">
        <f t="shared" si="4"/>
        <v>133</v>
      </c>
      <c r="AJ13" s="867">
        <f t="shared" si="4"/>
        <v>0</v>
      </c>
      <c r="AK13" s="870">
        <f>SUBTOTAL(9,AK9:AK12)</f>
        <v>0</v>
      </c>
      <c r="AL13" s="874">
        <f>IF(ISNUMBER(NºAsuntos!G13/NºAsuntos!E13),NºAsuntos!G13/NºAsuntos!E13," - ")</f>
        <v>0.76943699731903481</v>
      </c>
      <c r="AM13" s="874">
        <f>IF(ISNUMBER(((NºAsuntos!I13/NºAsuntos!G13)*11)/factor_trimestre),((NºAsuntos!I13/NºAsuntos!G13)*11)/factor_trimestre," - ")</f>
        <v>5.2003484320557494</v>
      </c>
      <c r="AN13" s="875">
        <f>IF(ISNUMBER('Resol  Asuntos'!D13/NºAsuntos!G13),'Resol  Asuntos'!D13/NºAsuntos!G13," - ")</f>
        <v>0.23170731707317074</v>
      </c>
      <c r="AO13" s="876">
        <f>IF(ISNUMBER((NºAsuntos!C13+NºAsuntos!E13)/NºAsuntos!G13),(NºAsuntos!C13+NºAsuntos!E13)/NºAsuntos!G13," - ")</f>
        <v>2.7334494773519165</v>
      </c>
      <c r="AP13" s="877" t="str">
        <f t="shared" si="2"/>
        <v xml:space="preserve"> - </v>
      </c>
      <c r="AQ13" s="877">
        <f>IF(ISNUMBER((H13-W13+K13)/(F13)),(H13-W13+K13)/(F13)," - ")</f>
        <v>-0.2</v>
      </c>
      <c r="AR13" s="878">
        <f>IF(ISNUMBER((Datos!P13-Datos!Q13)/(Datos!R13-Datos!P13+Datos!Q13)),(Datos!P13-Datos!Q13)/(Datos!R13-Datos!P13+Datos!Q13)," - ")</f>
        <v>7.0478723404255317E-2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253</v>
      </c>
      <c r="G16" s="333">
        <f>IF(ISNUMBER(IF(D_I="SI",Datos!I16,Datos!I16+Datos!AC16)),IF(D_I="SI",Datos!I16,Datos!I16+Datos!AC16)," - ")</f>
        <v>253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163</v>
      </c>
      <c r="X16" s="226">
        <f>IF(ISNUMBER(Datos!Q16),Datos!Q16," - ")</f>
        <v>9</v>
      </c>
      <c r="Y16" s="334">
        <f t="shared" ref="Y16:Y17" si="7">SUM(W16:X16)</f>
        <v>172</v>
      </c>
      <c r="Z16" s="335" t="str">
        <f>IF(ISNUMBER(Datos!CC16),Datos!CC16," - ")</f>
        <v xml:space="preserve"> - </v>
      </c>
      <c r="AA16" s="332">
        <f>IF(ISNUMBER(IF(D_I="SI",Datos!L16,Datos!L16+Datos!AF16)),IF(D_I="SI",Datos!L16,Datos!L16+Datos!AF16)," - ")</f>
        <v>241</v>
      </c>
      <c r="AB16" s="334">
        <f>IF(ISNUMBER(Datos!R16),Datos!R16," - ")</f>
        <v>54</v>
      </c>
      <c r="AC16" s="334">
        <f t="shared" si="6"/>
        <v>295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1.0794701986754967</v>
      </c>
      <c r="AM16" s="260">
        <f>IF(ISNUMBER(((NºAsuntos!I16/NºAsuntos!G16)*11)/factor_trimestre),((NºAsuntos!I16/NºAsuntos!G16)*11)/factor_trimestre," - ")</f>
        <v>4.4355828220858902</v>
      </c>
      <c r="AN16" s="244">
        <f>IF(ISNUMBER('Resol  Asuntos'!D16/NºAsuntos!G16),'Resol  Asuntos'!D16/NºAsuntos!G16," - ")</f>
        <v>0.2392638036809816</v>
      </c>
      <c r="AO16" s="245">
        <f>IF(ISNUMBER((NºAsuntos!C16+NºAsuntos!E16)/NºAsuntos!G16),(NºAsuntos!C16+NºAsuntos!E16)/NºAsuntos!G16," - ")</f>
        <v>2.4785276073619631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27</v>
      </c>
      <c r="AB17" s="334">
        <f>IF(ISNUMBER(Datos!R17),Datos!R17," - ")</f>
        <v>1</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1.0526315789473684</v>
      </c>
      <c r="AM17" s="260">
        <f>IF(ISNUMBER(((NºAsuntos!I17/NºAsuntos!G17)*11)/factor_trimestre),((NºAsuntos!I17/NºAsuntos!G17)*11)/factor_trimestre," - ")</f>
        <v>4.0500000000000007</v>
      </c>
      <c r="AN17" s="244">
        <f>IF(ISNUMBER('Resol  Asuntos'!D17/NºAsuntos!G17),'Resol  Asuntos'!D17/NºAsuntos!G17," - ")</f>
        <v>0.1</v>
      </c>
      <c r="AO17" s="245">
        <f>IF(ISNUMBER((NºAsuntos!C17+NºAsuntos!E17)/NºAsuntos!G17),(NºAsuntos!C17+NºAsuntos!E17)/NºAsuntos!G17," - ")</f>
        <v>2.35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253</v>
      </c>
      <c r="G18" s="866">
        <f>SUBTOTAL(9,G15:G17)</f>
        <v>281</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183</v>
      </c>
      <c r="X18" s="867">
        <f t="shared" si="11"/>
        <v>9</v>
      </c>
      <c r="Y18" s="868">
        <f t="shared" si="11"/>
        <v>192</v>
      </c>
      <c r="Z18" s="868">
        <f t="shared" si="11"/>
        <v>0</v>
      </c>
      <c r="AA18" s="868">
        <f t="shared" si="11"/>
        <v>268</v>
      </c>
      <c r="AB18" s="868">
        <f t="shared" si="11"/>
        <v>55</v>
      </c>
      <c r="AC18" s="868">
        <f t="shared" si="11"/>
        <v>323</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1.0764705882352941</v>
      </c>
      <c r="AM18" s="874">
        <f>IF(ISNUMBER(((NºAsuntos!I18/NºAsuntos!G18)*11)/factor_trimestre),((NºAsuntos!I18/NºAsuntos!G18)*11)/factor_trimestre," - ")</f>
        <v>4.3934426229508201</v>
      </c>
      <c r="AN18" s="875">
        <f>IF(ISNUMBER('Resol  Asuntos'!D18/NºAsuntos!G18),'Resol  Asuntos'!D18/NºAsuntos!G18," - ")</f>
        <v>0.22404371584699453</v>
      </c>
      <c r="AO18" s="876">
        <f>IF(ISNUMBER((NºAsuntos!C18+NºAsuntos!E18)/NºAsuntos!G18),(NºAsuntos!C18+NºAsuntos!E18)/NºAsuntos!G18," - ")</f>
        <v>2.4644808743169397</v>
      </c>
      <c r="AP18" s="877" t="str">
        <f t="shared" si="2"/>
        <v xml:space="preserve"> - </v>
      </c>
      <c r="AQ18" s="877">
        <f>IF(ISNUMBER((H18-W18+K18)/(F18)),(H18-W18+K18)/(F18)," - ")</f>
        <v>-0.72332015810276684</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258</v>
      </c>
      <c r="G19" s="821">
        <f t="shared" si="13"/>
        <v>286</v>
      </c>
      <c r="H19" s="820">
        <f t="shared" si="13"/>
        <v>0</v>
      </c>
      <c r="I19" s="822">
        <f t="shared" si="13"/>
        <v>0</v>
      </c>
      <c r="J19" s="822">
        <f t="shared" si="13"/>
        <v>0</v>
      </c>
      <c r="K19" s="881">
        <f t="shared" si="13"/>
        <v>0</v>
      </c>
      <c r="L19" s="822">
        <f t="shared" si="13"/>
        <v>212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184</v>
      </c>
      <c r="X19" s="821">
        <f t="shared" si="14"/>
        <v>101</v>
      </c>
      <c r="Y19" s="828">
        <f t="shared" si="14"/>
        <v>285</v>
      </c>
      <c r="Z19" s="828">
        <f t="shared" si="14"/>
        <v>0</v>
      </c>
      <c r="AA19" s="828">
        <f t="shared" si="14"/>
        <v>273</v>
      </c>
      <c r="AB19" s="828">
        <f t="shared" si="14"/>
        <v>1665</v>
      </c>
      <c r="AC19" s="828">
        <f t="shared" si="14"/>
        <v>328</v>
      </c>
      <c r="AD19" s="828">
        <f t="shared" si="14"/>
        <v>0</v>
      </c>
      <c r="AE19" s="830">
        <f t="shared" si="14"/>
        <v>0</v>
      </c>
      <c r="AF19" s="831">
        <f t="shared" si="14"/>
        <v>0</v>
      </c>
      <c r="AG19" s="832">
        <f t="shared" si="14"/>
        <v>0</v>
      </c>
      <c r="AH19" s="830">
        <f t="shared" si="14"/>
        <v>0</v>
      </c>
      <c r="AI19" s="820">
        <f t="shared" si="14"/>
        <v>174</v>
      </c>
      <c r="AJ19" s="820">
        <f t="shared" si="14"/>
        <v>0</v>
      </c>
      <c r="AK19" s="830">
        <f t="shared" si="14"/>
        <v>0</v>
      </c>
      <c r="AL19" s="884">
        <f>IF(ISNUMBER(NºAsuntos!G19/NºAsuntos!E19),NºAsuntos!G19/NºAsuntos!E19," - ")</f>
        <v>0.82641921397379914</v>
      </c>
      <c r="AM19" s="885">
        <f>IF(ISNUMBER(((NºAsuntos!I19/NºAsuntos!G19)*11)/factor_trimestre),((NºAsuntos!I19/NºAsuntos!G19)*11)/factor_trimestre," - ")</f>
        <v>5.0052840158520482</v>
      </c>
      <c r="AN19" s="885">
        <f>IF(ISNUMBER('Resol  Asuntos'!D19/NºAsuntos!G19),'Resol  Asuntos'!D19/NºAsuntos!G19," - ")</f>
        <v>0.22985468956406868</v>
      </c>
      <c r="AO19" s="886">
        <f>IF(ISNUMBER((NºAsuntos!C19+NºAsuntos!E19)/NºAsuntos!G19),(NºAsuntos!C19+NºAsuntos!E19)/NºAsuntos!G19," - ")</f>
        <v>2.6684280052840159</v>
      </c>
      <c r="AP19" s="887" t="str">
        <f t="shared" si="2"/>
        <v xml:space="preserve"> - </v>
      </c>
      <c r="AQ19" s="888">
        <f>IF(OR(ISNUMBER(FIND("01",Criterios!A8,1)),ISNUMBER(FIND("02",Criterios!A8,1)),ISNUMBER(FIND("03",Criterios!A8,1)),ISNUMBER(FIND("04",Criterios!A8,1))),(I19-W19+K19)/(F19-K19),(H19-W19+K19)/(F19-K19))</f>
        <v>-0.71317829457364346</v>
      </c>
      <c r="AR19" s="889">
        <f>IF(ISNUMBER((Datos!P19-Datos!Q19)/(Datos!R19-Datos!P19+Datos!Q19)),(Datos!P19-Datos!Q19)/(Datos!R19-Datos!P19+Datos!Q19)," - ")</f>
        <v>7.1428571428571425E-2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143.18286675902718</v>
      </c>
      <c r="G21" s="253">
        <f>IF(ISNUMBER(STDEV(G8:G18)),STDEV(G8:G18),"-")</f>
        <v>139.97071122202672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91.344403222091273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60.226240128369291</v>
      </c>
      <c r="AJ21" s="252">
        <f t="shared" si="18"/>
        <v>0</v>
      </c>
      <c r="AK21" s="254">
        <f t="shared" si="18"/>
        <v>0</v>
      </c>
      <c r="AL21" s="249">
        <f t="shared" si="18"/>
        <v>0.14882077940446317</v>
      </c>
      <c r="AM21" s="250">
        <f t="shared" si="18"/>
        <v>4.2493344375925703</v>
      </c>
      <c r="AN21" s="250">
        <f t="shared" si="18"/>
        <v>0.32878711492745549</v>
      </c>
      <c r="AO21" s="251">
        <f t="shared" si="18"/>
        <v>1.4164448125308571</v>
      </c>
      <c r="AP21" s="291" t="str">
        <f t="shared" si="18"/>
        <v>-</v>
      </c>
      <c r="AQ21" s="292">
        <f t="shared" si="18"/>
        <v>0.37004323252608273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NA6Ti7EHjO7PrR6RSw8WhqOALlP5SXA0qDkFvCuBIZ/pOdgYjF8uyQaKWMzdgj/8X93m8RWRduFYOasf3intQ==" saltValue="p0AIazS6Gmj9uh/teV5Bt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LALIN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t="str">
        <f>IF(ISNUMBER((Datos!K10-Datos!U10)/Datos!U10),(Datos!K10-Datos!U10)/Datos!U10," - ")</f>
        <v xml:space="preserve"> - </v>
      </c>
      <c r="G10" s="349">
        <f>IF(ISNUMBER((Datos!L10-Datos!V10)/Datos!V10),(Datos!L10-Datos!V10)/Datos!V10," - ")</f>
        <v>-0.16666666666666666</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3.125E-2</v>
      </c>
      <c r="I12" s="350">
        <f>IF(ISNUMBER((Tasas!C12-Datos!BE12)/Datos!BE12),(Tasas!C12-Datos!BE12)/Datos!BE12," - ")</f>
        <v>-6.7624605023410334E-2</v>
      </c>
      <c r="J12" s="349">
        <f>IF(ISNUMBER((Tasas!D12-Datos!BF12)/Datos!BF12),(Tasas!D12-Datos!BF12)/Datos!BF12," - ")</f>
        <v>-0.11118440037927199</v>
      </c>
      <c r="K12" s="351">
        <f>IF(ISNUMBER((Tasas!E12-Datos!BG12)/Datos!BG12),(Tasas!E12-Datos!BG12)/Datos!BG12," - ")</f>
        <v>1.9524682409415319E-2</v>
      </c>
      <c r="M12" t="e">
        <f>IF(Monitorios="SI",Datos!CE12,0)</f>
        <v>#REF!</v>
      </c>
      <c r="N12" t="e">
        <f>IF(Monitorios="SI",Datos!CF12,0)</f>
        <v>#REF!</v>
      </c>
      <c r="O12" t="e">
        <f>IF(Monitorios="SI",Datos!CG12,0)</f>
        <v>#REF!</v>
      </c>
      <c r="P12" t="e">
        <f>IF(Monitorios="SI",Datos!CH12,0)</f>
        <v>#REF!</v>
      </c>
      <c r="Q12">
        <f>IF(J_V="SI",0,Datos!AG12)</f>
        <v>28</v>
      </c>
      <c r="R12">
        <f>IF(J_V="SI",0,Datos!AH12)</f>
        <v>51</v>
      </c>
      <c r="S12">
        <f>IF(J_V="SI",0,Datos!AI12)</f>
        <v>59</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3.90625E-2</v>
      </c>
      <c r="I13" s="357">
        <f>IF(ISNUMBER((Tasas!C13-Datos!BE13)/Datos!BE13),(Tasas!C13-Datos!BE13)/Datos!BE13," - ")</f>
        <v>-7.0689011047659636E-2</v>
      </c>
      <c r="J13" s="355">
        <f>IF(ISNUMBER((Tasas!D13-Datos!BF13)/Datos!BF13),(Tasas!D13-Datos!BF13)/Datos!BF13," - ")</f>
        <v>-0.10601113885154595</v>
      </c>
      <c r="K13" s="358">
        <f>IF(ISNUMBER((Tasas!E13-Datos!BG13)/Datos!BG13),(Tasas!E13-Datos!BG13)/Datos!BG13," - ")</f>
        <v>1.7000944496916515E-2</v>
      </c>
      <c r="M13" t="e">
        <f>IF(Monitorios="SI",Datos!CE13,0)</f>
        <v>#REF!</v>
      </c>
      <c r="N13" t="e">
        <f>IF(Monitorios="SI",Datos!CF13,0)</f>
        <v>#REF!</v>
      </c>
      <c r="O13" t="e">
        <f>IF(Monitorios="SI",Datos!CG13,0)</f>
        <v>#REF!</v>
      </c>
      <c r="P13" t="e">
        <f>IF(Monitorios="SI",Datos!CH13,0)</f>
        <v>#REF!</v>
      </c>
      <c r="Q13">
        <f>IF(J_V="SI",0,Datos!AG13)</f>
        <v>28</v>
      </c>
      <c r="R13">
        <f>IF(J_V="SI",0,Datos!AH13)</f>
        <v>51</v>
      </c>
      <c r="S13">
        <f>IF(J_V="SI",0,Datos!AI13)</f>
        <v>59</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0.22222222222222221</v>
      </c>
      <c r="E16" s="348">
        <f>IF(ISNUMBER(
   IF(D_I="SI",(Datos!J16-Datos!T16)/Datos!T16,(Datos!J16+Datos!AD16-(Datos!T16+Datos!AL16))/(Datos!T16+Datos!AL16))
     ),IF(D_I="SI",(Datos!J16-Datos!T16)/Datos!T16,(Datos!J16+Datos!AD16-(Datos!T16+Datos!AL16))/(Datos!T16+Datos!AL16))," - ")</f>
        <v>-0.23737373737373738</v>
      </c>
      <c r="F16" s="348">
        <f>IF(ISNUMBER(
   IF(D_I="SI",(Datos!K16-Datos!U16)/Datos!U16,(Datos!K16+Datos!AE16-(Datos!U16+Datos!AM16))/(Datos!U16+Datos!AM16))
     ),IF(D_I="SI",(Datos!K16-Datos!U16)/Datos!U16,(Datos!K16+Datos!AE16-(Datos!U16+Datos!AM16))/(Datos!U16+Datos!AM16))," - ")</f>
        <v>-0.19306930693069307</v>
      </c>
      <c r="G16" s="349">
        <f>IF(ISNUMBER(
   IF(D_I="SI",(Datos!L16-Datos!V16)/Datos!V16,(Datos!L16+Datos!AF16-(Datos!V16+Datos!AN16))/(Datos!V16+Datos!AN16))
     ),IF(D_I="SI",(Datos!L16-Datos!V16)/Datos!V16,(Datos!L16+Datos!AF16-(Datos!V16+Datos!AN16))/(Datos!V16+Datos!AN16))," - ")</f>
        <v>0.18719211822660098</v>
      </c>
      <c r="H16" s="230">
        <f>IF(ISNUMBER((Datos!M16-Datos!W16)/Datos!W16),(Datos!M16-Datos!W16)/Datos!W16," - ")</f>
        <v>-2.5000000000000001E-2</v>
      </c>
      <c r="I16" s="350">
        <f>IF(ISNUMBER((Tasas!C16-Datos!BE16)/Datos!BE16),(Tasas!C16-Datos!BE16)/Datos!BE16," - ")</f>
        <v>0.47124422013357903</v>
      </c>
      <c r="J16" s="349">
        <f>IF(ISNUMBER((Tasas!D16-Datos!BF16)/Datos!BF16),(Tasas!D16-Datos!BF16)/Datos!BF16," - ")</f>
        <v>0.20828220858895702</v>
      </c>
      <c r="K16" s="351">
        <f>IF(ISNUMBER((Tasas!E16-Datos!BG16)/Datos!BG16),(Tasas!E16-Datos!BG16)/Datos!BG16," - ")</f>
        <v>0.23620389305460876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1.5454545454545454</v>
      </c>
      <c r="E17" s="348">
        <f>IF(ISNUMBER(
   IF(D_I="SI",(Datos!J17-Datos!T17)/Datos!T17,(Datos!J17+Datos!AD17-(Datos!T17+Datos!AL17))/(Datos!T17+Datos!AL17))
     ),IF(D_I="SI",(Datos!J17-Datos!T17)/Datos!T17,(Datos!J17+Datos!AD17-(Datos!T17+Datos!AL17))/(Datos!T17+Datos!AL17))," - ")</f>
        <v>-0.24</v>
      </c>
      <c r="F17" s="348">
        <f>IF(ISNUMBER(
   IF(D_I="SI",(Datos!K17-Datos!U17)/Datos!U17,(Datos!K17+Datos!AE17-(Datos!U17+Datos!AM17))/(Datos!U17+Datos!AM17))
     ),IF(D_I="SI",(Datos!K17-Datos!U17)/Datos!U17,(Datos!K17+Datos!AE17-(Datos!U17+Datos!AM17))/(Datos!U17+Datos!AM17))," - ")</f>
        <v>0.17647058823529413</v>
      </c>
      <c r="G17" s="349">
        <f>IF(ISNUMBER(
   IF(D_I="SI",(Datos!L17-Datos!V17)/Datos!V17,(Datos!L17+Datos!AF17-(Datos!V17+Datos!AN17))/(Datos!V17+Datos!AN17))
     ),IF(D_I="SI",(Datos!L17-Datos!V17)/Datos!V17,(Datos!L17+Datos!AF17-(Datos!V17+Datos!AN17))/(Datos!V17+Datos!AN17))," - ")</f>
        <v>0.42105263157894735</v>
      </c>
      <c r="H17" s="230">
        <f>IF(ISNUMBER((Datos!M17-Datos!W17)/Datos!W17),(Datos!M17-Datos!W17)/Datos!W17," - ")</f>
        <v>1</v>
      </c>
      <c r="I17" s="350">
        <f>IF(ISNUMBER((Tasas!C17-Datos!BE17)/Datos!BE17),(Tasas!C17-Datos!BE17)/Datos!BE17," - ")</f>
        <v>0.20789473684210533</v>
      </c>
      <c r="J17" s="349">
        <f>IF(ISNUMBER((Tasas!D17-Datos!BF17)/Datos!BF17),(Tasas!D17-Datos!BF17)/Datos!BF17," - ")</f>
        <v>0.70000000000000007</v>
      </c>
      <c r="K17" s="351">
        <f>IF(ISNUMBER((Tasas!E17-Datos!BG17)/Datos!BG17),(Tasas!E17-Datos!BG17)/Datos!BG17," - ")</f>
        <v>0.10972222222222225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0.28899082568807338</v>
      </c>
      <c r="E18" s="354">
        <f>IF(ISNUMBER(
   IF(D_I="SI",(Datos!J18-Datos!T18)/Datos!T18,(Datos!J18+Datos!AD18-(Datos!T18+Datos!AL18))/(Datos!T18+Datos!AL18))
     ),IF(D_I="SI",(Datos!J18-Datos!T18)/Datos!T18,(Datos!J18+Datos!AD18-(Datos!T18+Datos!AL18))/(Datos!T18+Datos!AL18))," - ")</f>
        <v>-0.23766816143497757</v>
      </c>
      <c r="F18" s="354">
        <f>IF(ISNUMBER(
   IF(D_I="SI",(Datos!K18-Datos!U18)/Datos!U18,(Datos!K18+Datos!AE18-(Datos!U18+Datos!AM18))/(Datos!U18+Datos!AM18))
     ),IF(D_I="SI",(Datos!K18-Datos!U18)/Datos!U18,(Datos!K18+Datos!AE18-(Datos!U18+Datos!AM18))/(Datos!U18+Datos!AM18))," - ")</f>
        <v>-0.16438356164383561</v>
      </c>
      <c r="G18" s="355">
        <f>IF(ISNUMBER(
   IF(D_I="SI",(Datos!L18-Datos!V18)/Datos!V18,(Datos!L18+Datos!AF18-(Datos!V18+Datos!AN18))/(Datos!V18+Datos!AN18))
     ),IF(D_I="SI",(Datos!L18-Datos!V18)/Datos!V18,(Datos!L18+Datos!AF18-(Datos!V18+Datos!AN18))/(Datos!V18+Datos!AN18))," - ")</f>
        <v>0.2072072072072072</v>
      </c>
      <c r="H18" s="356">
        <f>IF(ISNUMBER((Datos!M18-Datos!W18)/Datos!W18),(Datos!M18-Datos!W18)/Datos!W18," - ")</f>
        <v>0</v>
      </c>
      <c r="I18" s="357">
        <f>IF(ISNUMBER((Tasas!C18-Datos!BE18)/Datos!BE18),(Tasas!C18-Datos!BE18)/Datos!BE18," - ")</f>
        <v>0.44469059223157581</v>
      </c>
      <c r="J18" s="355">
        <f>IF(ISNUMBER((Tasas!D18-Datos!BF18)/Datos!BF18),(Tasas!D18-Datos!BF18)/Datos!BF18," - ")</f>
        <v>0.19672131147540989</v>
      </c>
      <c r="K18" s="358">
        <f>IF(ISNUMBER((Tasas!E18-Datos!BG18)/Datos!BG18),(Tasas!E18-Datos!BG18)/Datos!BG18," - ")</f>
        <v>0.22385784915058909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0.18709677419354839</v>
      </c>
      <c r="E19" s="363">
        <f>IF(ISNUMBER(
   IF(J_V="SI",(Datos!J19-Datos!T19)/Datos!T19,(Datos!J19+Datos!Z19-(Datos!T19+Datos!AH19))/(Datos!T19+Datos!AH19))
     ),IF(J_V="SI",(Datos!J19-Datos!T19)/Datos!T19,(Datos!J19+Datos!Z19-(Datos!T19+Datos!AH19))/(Datos!T19+Datos!AH19))," - ")</f>
        <v>0.10628019323671498</v>
      </c>
      <c r="F19" s="363">
        <f>IF(ISNUMBER(
   IF(J_V="SI",(Datos!K19-Datos!U19)/Datos!U19,(Datos!K19+Datos!AA19-(Datos!U19+Datos!AI19))/(Datos!U19+Datos!AI19))
     ),IF(J_V="SI",(Datos!K19-Datos!U19)/Datos!U19,(Datos!K19+Datos!AA19-(Datos!U19+Datos!AI19))/(Datos!U19+Datos!AI19))," - ")</f>
        <v>6.7700987306064886E-2</v>
      </c>
      <c r="G19" s="364">
        <f>IF(ISNUMBER(
   IF(J_V="SI",(Datos!L19-Datos!V19)/Datos!V19,(Datos!L19+Datos!AB19-(Datos!V19+Datos!AJ19))/(Datos!V19+Datos!AJ19))
     ),IF(J_V="SI",(Datos!L19-Datos!V19)/Datos!V19,(Datos!L19+Datos!AB19-(Datos!V19+Datos!AJ19))/(Datos!V19+Datos!AJ19))," - ")</f>
        <v>0.11179577464788733</v>
      </c>
      <c r="H19" s="365">
        <f>IF(ISNUMBER((Datos!M19-Datos!W19)/Datos!W19),(Datos!M19-Datos!W19)/Datos!W19," - ")</f>
        <v>2.9585798816568046E-2</v>
      </c>
      <c r="I19" s="362">
        <f>IF(ISNUMBER((Tasas!C19-Datos!BE19)/Datos!BE19),(Tasas!C19-Datos!BE19)/Datos!BE19," - ")</f>
        <v>4.1298816678140247E-2</v>
      </c>
      <c r="J19" s="363">
        <f>IF(ISNUMBER((Tasas!D19-Datos!BF19)/Datos!BF19),(Tasas!D19-Datos!BF19)/Datos!BF19," - ")</f>
        <v>-2.9958482732591069E-2</v>
      </c>
      <c r="K19" s="364">
        <f>IF(ISNUMBER((Tasas!E19-Datos!BG19)/Datos!BG19),(Tasas!E19-Datos!BG19)/Datos!BG19," - ")</f>
        <v>7.6174889503052998E-2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0.69853603296420119</v>
      </c>
      <c r="E21" s="278">
        <f t="shared" si="1"/>
        <v>0.11917944018952464</v>
      </c>
      <c r="F21" s="278">
        <f t="shared" si="1"/>
        <v>0.20557405704991713</v>
      </c>
      <c r="G21" s="279">
        <f t="shared" si="1"/>
        <v>0.24345309194979231</v>
      </c>
      <c r="H21" s="285">
        <f t="shared" si="1"/>
        <v>0.44288593251394881</v>
      </c>
      <c r="I21" s="277">
        <f t="shared" si="1"/>
        <v>0.26380047006669277</v>
      </c>
      <c r="J21" s="278">
        <f t="shared" si="1"/>
        <v>0.33092313423408859</v>
      </c>
      <c r="K21" s="279">
        <f t="shared" si="1"/>
        <v>0.10617387037093823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hVbIRxoU1saKDIz+x2170jWgSqwXNofkKL0eZ/X9I1Vs3z0442kgumn08f3OfnHOwhDQ/78RLGcfH3XGKcfZg==" saltValue="Bbi1zoKVy3aJN4CVdAOk5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